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460" windowHeight="11580" activeTab="0"/>
  </bookViews>
  <sheets>
    <sheet name="форма 2п" sheetId="1" r:id="rId1"/>
  </sheets>
  <definedNames>
    <definedName name="_xlnm._FilterDatabase" localSheetId="0" hidden="1">'форма 2п'!$C$8:$P$201</definedName>
    <definedName name="_xlnm.Print_Titles" localSheetId="0">'форма 2п'!$5:$7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<sst xmlns="http://schemas.openxmlformats.org/spreadsheetml/2006/main" count="409" uniqueCount="235">
  <si>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</si>
  <si>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</si>
  <si>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</si>
  <si>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</si>
  <si>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</si>
  <si>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</si>
  <si>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</si>
  <si>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</si>
  <si>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</si>
  <si>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</si>
  <si>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том числе: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</si>
  <si>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</si>
  <si>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</si>
  <si>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</si>
  <si>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</si>
  <si>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</si>
  <si>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</si>
  <si>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</si>
  <si>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</si>
  <si>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</si>
  <si>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</si>
  <si>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</si>
  <si>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</si>
  <si>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2.7. Строительство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</si>
  <si>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</si>
  <si>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</si>
  <si>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</si>
  <si>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</si>
  <si>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</si>
  <si>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</si>
  <si>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</si>
  <si>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</si>
  <si>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</si>
  <si>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</si>
  <si>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Структура оборота розничной торговли</t>
  </si>
  <si>
    <t>Объем платных услуг населению</t>
  </si>
  <si>
    <t>единиц</t>
  </si>
  <si>
    <t>тыс. чел.</t>
  </si>
  <si>
    <t xml:space="preserve">млрд. руб. 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</si>
  <si>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</si>
  <si>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</si>
  <si>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</si>
  <si>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</si>
  <si>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</si>
  <si>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</si>
  <si>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</si>
  <si>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</si>
  <si>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</si>
  <si>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</si>
  <si>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8. Денежные доходы и расходы населения</t>
  </si>
  <si>
    <t>Денежные доходы населения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</si>
  <si>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</si>
  <si>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</si>
  <si>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</si>
  <si>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</si>
  <si>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</si>
  <si>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</si>
  <si>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9. Труд и занятость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</si>
  <si>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</si>
  <si>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</si>
  <si>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</si>
  <si>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</si>
  <si>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10. Развитие социальной сферы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</si>
  <si>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</si>
  <si>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</si>
  <si>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</si>
  <si>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</si>
  <si>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</si>
  <si>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</si>
  <si>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</si>
  <si>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</si>
  <si>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12. Туризм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</si>
  <si>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</si>
  <si>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</si>
  <si>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</si>
  <si>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</si>
  <si>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</si>
  <si>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</si>
  <si>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</si>
  <si>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</si>
  <si>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</si>
  <si>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</si>
  <si>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</si>
  <si>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</si>
  <si>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</si>
  <si>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</si>
  <si>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</si>
  <si>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</si>
  <si>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</si>
  <si>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</si>
  <si>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</si>
  <si>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</si>
  <si>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</si>
  <si>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2. Производство товаров и услуг</t>
  </si>
  <si>
    <t xml:space="preserve">млн. руб. </t>
  </si>
  <si>
    <t>Добыча полезных ископаемых</t>
  </si>
  <si>
    <t>Обрабатывающие производства</t>
  </si>
  <si>
    <t>5. Малое и среднее предпринимательство, включая микропредприятия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</si>
  <si>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</si>
  <si>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</si>
  <si>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</si>
  <si>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</si>
  <si>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</si>
  <si>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</si>
  <si>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</si>
  <si>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</si>
  <si>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</si>
  <si>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</si>
  <si>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</si>
  <si>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</si>
  <si>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</si>
  <si>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</si>
  <si>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</si>
  <si>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</si>
  <si>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</si>
  <si>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Темп роста отгрузки - РАЗДЕЛ D: Обеспечение электрической энергией, газом и паром; кондиционирование воздуха</t>
  </si>
  <si>
    <t>2.3. Промышленное производство (BCDE)</t>
  </si>
  <si>
    <t>7. Консолидированный бюджет муниципального района (городского округа) (включая местные бюджеты без учета территориальных внебюджетных фондов)</t>
  </si>
  <si>
    <t>Темп роста отгрузки - 13 Производство текстильных изделий*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</si>
  <si>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 *</t>
  </si>
  <si>
    <t>Темп роста отгрузки - 17 Производство бумаги и бумажных изделий *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</si>
  <si>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 *</t>
  </si>
  <si>
    <t>Объем отгруженных товаров собственного производства, выполненных работ и услуг собственными силами - 10 Производство пищевых продуктов *</t>
  </si>
  <si>
    <t>Темп роста отгрузки -10 Производство пищевых продуктов *</t>
  </si>
  <si>
    <t>Объем отгруженных товаров собственного производства, выполненных работ и услуг собственными силами - 11 Производство напитков *</t>
  </si>
  <si>
    <t>Темп роста отгрузки -11 Производство напитков *</t>
  </si>
  <si>
    <t>Объем отгруженных товаров собственного производства, выполненных работ и услуг собственными силами - 12 Производство табачных изделий *</t>
  </si>
  <si>
    <t>Темп роста отгрузки - 12 Производство табачных изделий *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</si>
  <si>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 *</t>
  </si>
  <si>
    <t>Объем отгруженных товаров собственного производства, выполненных работ и услуг собственными силами - 14 Производство одежды *</t>
  </si>
  <si>
    <t>Темп роста отгрузки - 14 Производство одежды *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</si>
  <si>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</si>
  <si>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</si>
  <si>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Темп роста отгрузки - 18 Деятельность полиграфическая и копирование носителей информации *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</si>
  <si>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 *</t>
  </si>
  <si>
    <t>Темп роста отгрузки - 21 Производство лекарственных средств и материалов, применяемых в медицинских целях *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</si>
  <si>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 *</t>
  </si>
  <si>
    <t>Темп роста отгрузки - 22 Производство резиновых и пластмассовых изделий *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</si>
  <si>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 *</t>
  </si>
  <si>
    <t>Темп роста отгрузки - 23 Производство прочей неметаллической минеральной продукции *</t>
  </si>
  <si>
    <t>Объем отгруженных товаров собственного производства, выполненных работ и услуг собственными силами - 24 Производство металлургическое *</t>
  </si>
  <si>
    <t>Темп роста отгрузки - 24 Производство металлургическое *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</si>
  <si>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 *</t>
  </si>
  <si>
    <t>Темп роста отгрузки - 25 Производство готовых металлических изделий, кроме машин и оборудования *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</si>
  <si>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 *</t>
  </si>
  <si>
    <t>Темп роста отгрузки - 26 Производство компьютеров, электронных и  оптических изделий *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</si>
  <si>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 *</t>
  </si>
  <si>
    <t>Темп роста отгрузки - 27 Производство электрического оборудования *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</si>
  <si>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 *</t>
  </si>
  <si>
    <t>Темп роста отгрузки - 30 Производство прочих транспортных средств и оборудования *</t>
  </si>
  <si>
    <t>Объем отгруженных товаров собственного производства, выполненных работ и услуг собственными силами - 31 Производство мебели *</t>
  </si>
  <si>
    <t>Темп роста отгрузки - 31 Производство мебели *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</si>
  <si>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 *</t>
  </si>
  <si>
    <t>Темп роста отгрузки - 32 Производство прочих готовых изделий *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</si>
  <si>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</si>
  <si>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 **</t>
  </si>
  <si>
    <t>Темп роста отгрузки - 20 Производство химических веществ и химических продуктов **</t>
  </si>
  <si>
    <t>* город Ставрополь</t>
  </si>
  <si>
    <t>Все страны***</t>
  </si>
  <si>
    <t xml:space="preserve">   Страны вне СНГ***</t>
  </si>
  <si>
    <t xml:space="preserve">   Страны СНГ***</t>
  </si>
  <si>
    <t xml:space="preserve">    Страны вне СНГ***</t>
  </si>
  <si>
    <t xml:space="preserve">    Страны СНГ***</t>
  </si>
  <si>
    <t>Количество российских посетителей из других регионов (резидентов)***</t>
  </si>
  <si>
    <t>*** города-курорты КМВ</t>
  </si>
  <si>
    <t>**города Ставрополь и Невинномысск</t>
  </si>
  <si>
    <t>Форма 2п</t>
  </si>
  <si>
    <t>Численность населения трудоспособного возраста</t>
  </si>
  <si>
    <t>Численность населения старше трудоспособного возраста</t>
  </si>
  <si>
    <t>Ожидаемая продолжительность жизни при рождении</t>
  </si>
  <si>
    <t>число лет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</si>
  <si>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</si>
  <si>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</si>
  <si>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</si>
  <si>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</si>
  <si>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</si>
  <si>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</si>
  <si>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</si>
  <si>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</si>
  <si>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</si>
  <si>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</si>
  <si>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</si>
  <si>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</si>
  <si>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</si>
  <si>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</si>
  <si>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</si>
  <si>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</si>
  <si>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</si>
  <si>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</si>
  <si>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</si>
  <si>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</si>
  <si>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</si>
  <si>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</si>
  <si>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</si>
  <si>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</si>
  <si>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</si>
  <si>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</si>
  <si>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</si>
  <si>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</si>
  <si>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</si>
  <si>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</si>
  <si>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</si>
  <si>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</si>
  <si>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</si>
  <si>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</si>
  <si>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</si>
  <si>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</si>
  <si>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</si>
  <si>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</si>
  <si>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</si>
  <si>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</si>
  <si>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</si>
  <si>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Реальные располагаемые денежные доходы населения</t>
  </si>
  <si>
    <t>% г/г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</si>
  <si>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</si>
  <si>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руб/мес</t>
  </si>
  <si>
    <t xml:space="preserve">     трудоспособного населения</t>
  </si>
  <si>
    <t xml:space="preserve">     пенсионеров</t>
  </si>
  <si>
    <t xml:space="preserve">     детей</t>
  </si>
  <si>
    <t xml:space="preserve">Численность населения с денежными доходами ниже прожиточного минимума к общей численности населения </t>
  </si>
  <si>
    <t xml:space="preserve">Доходы консолидированного бюджета </t>
  </si>
  <si>
    <t>Налоговые доходы консолидированного бюджета всего, в том числе:</t>
  </si>
  <si>
    <t>Расходы консолидированного бюджета всего, в том числе по направлениям:</t>
  </si>
  <si>
    <t>Дефицит(-),профицит(+) консолидированного бюджета</t>
  </si>
  <si>
    <t>Государственный долг муниципального образования</t>
  </si>
  <si>
    <t>Превышение доходов над расходами (+), или расходов над доходами (-)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</si>
  <si>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</si>
  <si>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</si>
  <si>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рублей</t>
  </si>
  <si>
    <t>Реальная заработная плата  работников организаций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</si>
  <si>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</si>
  <si>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</si>
  <si>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</si>
  <si>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</si>
  <si>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Прогноз социально-экономического развития  города-курорта Кисловодска на период до 2024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</si>
</sst>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Continuous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211"/>
  <sheetViews>
    <sheetView tabSelected="1" zoomScale="50" zoomScaleNormal="50" zoomScalePageLayoutView="0" workbookViewId="0" topLeftCell="A1">
      <selection activeCell="C3" sqref="C3:Y3"/>
    </sheetView>
  </sheetViews>
  <sheetFormatPr defaultColWidth="9.00390625" defaultRowHeight="12.75"/>
  <cols>
    <col min="1" max="2" width="9.125" style="5" customWidth="1"/>
    <col min="3" max="3" width="62.625" style="5" customWidth="1"/>
    <col min="4" max="4" width="43.375" style="5" customWidth="1"/>
    <col min="5" max="5" width="16.125" style="5" customWidth="1"/>
    <col min="6" max="6" width="13.125" style="5" customWidth="1"/>
    <col min="7" max="7" width="13.625" style="5" customWidth="1"/>
    <col min="8" max="8" width="15.375" style="5" customWidth="1"/>
    <col min="9" max="9" width="15.125" style="5" customWidth="1"/>
    <col min="10" max="10" width="15.875" style="5" customWidth="1"/>
    <col min="11" max="11" width="16.125" style="5" customWidth="1"/>
    <col min="12" max="12" width="16.00390625" style="5" customWidth="1"/>
    <col min="13" max="13" width="14.875" style="5" customWidth="1"/>
    <col min="14" max="14" width="16.625" style="5" customWidth="1"/>
    <col min="15" max="15" width="16.00390625" style="5" customWidth="1"/>
    <col min="16" max="16" width="14.75390625" style="5" customWidth="1"/>
    <col min="17" max="17" width="14.375" style="5" customWidth="1"/>
    <col min="18" max="18" width="15.00390625" style="5" customWidth="1"/>
    <col min="19" max="19" width="13.375" style="5" customWidth="1"/>
    <col min="20" max="20" width="16.375" style="5" customWidth="1"/>
    <col min="21" max="21" width="17.125" style="5" customWidth="1"/>
    <col min="22" max="22" width="13.125" style="5" customWidth="1"/>
    <col min="23" max="23" width="17.125" style="5" customWidth="1"/>
    <col min="24" max="24" width="14.125" style="5" customWidth="1"/>
    <col min="25" max="25" width="14.625" style="5" customWidth="1"/>
    <col min="26" max="16384" width="9.125" style="5" customWidth="1"/>
  </cols>
  <sheetData>
    <row r="1" spans="3:25" ht="45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7"/>
      <c r="Q1" s="14"/>
      <c r="R1" s="15"/>
      <c r="S1" s="16"/>
      <c r="T1" s="17"/>
      <c r="U1" s="14"/>
      <c r="V1" s="14"/>
      <c r="W1" s="15"/>
      <c r="X1" s="16"/>
      <c r="Y1" s="17" t="s">
        <v>166</v>
      </c>
    </row>
    <row r="2" spans="3:25" ht="45.7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7"/>
      <c r="Q2" s="14"/>
      <c r="R2" s="15"/>
      <c r="S2" s="16"/>
      <c r="T2" s="17"/>
      <c r="U2" s="14"/>
      <c r="V2" s="14"/>
      <c r="W2" s="15"/>
      <c r="X2" s="16"/>
      <c r="Y2" s="17"/>
    </row>
    <row r="3" spans="3:25" ht="114" customHeight="1">
      <c r="C3" s="45" t="s">
        <v>234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ht="18">
      <c r="C4" s="5" t="s">
        <v>52</v>
      </c>
    </row>
    <row r="5" spans="3:25" ht="18.75">
      <c r="C5" s="42" t="s">
        <v>77</v>
      </c>
      <c r="D5" s="42" t="s">
        <v>78</v>
      </c>
      <c r="E5" s="29" t="s">
        <v>79</v>
      </c>
      <c r="F5" s="30" t="s">
        <v>79</v>
      </c>
      <c r="G5" s="30" t="s">
        <v>80</v>
      </c>
      <c r="H5" s="30" t="s">
        <v>81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3:25" ht="29.25" customHeight="1">
      <c r="C6" s="43"/>
      <c r="D6" s="43"/>
      <c r="E6" s="42">
        <v>2016</v>
      </c>
      <c r="F6" s="42">
        <v>2017</v>
      </c>
      <c r="G6" s="42">
        <v>2018</v>
      </c>
      <c r="H6" s="39">
        <v>2019</v>
      </c>
      <c r="I6" s="40"/>
      <c r="J6" s="41"/>
      <c r="K6" s="39">
        <v>2020</v>
      </c>
      <c r="L6" s="40"/>
      <c r="M6" s="41"/>
      <c r="N6" s="39">
        <v>2021</v>
      </c>
      <c r="O6" s="40"/>
      <c r="P6" s="41"/>
      <c r="Q6" s="39">
        <v>2022</v>
      </c>
      <c r="R6" s="40"/>
      <c r="S6" s="41"/>
      <c r="T6" s="39">
        <v>2023</v>
      </c>
      <c r="U6" s="40"/>
      <c r="V6" s="41"/>
      <c r="W6" s="39">
        <v>2024</v>
      </c>
      <c r="X6" s="40"/>
      <c r="Y6" s="41"/>
    </row>
    <row r="7" spans="3:25" ht="37.5">
      <c r="C7" s="43"/>
      <c r="D7" s="43"/>
      <c r="E7" s="43"/>
      <c r="F7" s="43"/>
      <c r="G7" s="43"/>
      <c r="H7" s="29" t="s">
        <v>110</v>
      </c>
      <c r="I7" s="29" t="s">
        <v>109</v>
      </c>
      <c r="J7" s="29" t="s">
        <v>111</v>
      </c>
      <c r="K7" s="29" t="s">
        <v>110</v>
      </c>
      <c r="L7" s="29" t="s">
        <v>109</v>
      </c>
      <c r="M7" s="29" t="s">
        <v>111</v>
      </c>
      <c r="N7" s="29" t="s">
        <v>110</v>
      </c>
      <c r="O7" s="29" t="s">
        <v>109</v>
      </c>
      <c r="P7" s="29" t="s">
        <v>111</v>
      </c>
      <c r="Q7" s="29" t="s">
        <v>110</v>
      </c>
      <c r="R7" s="29" t="s">
        <v>109</v>
      </c>
      <c r="S7" s="29" t="s">
        <v>111</v>
      </c>
      <c r="T7" s="29" t="s">
        <v>110</v>
      </c>
      <c r="U7" s="29" t="s">
        <v>109</v>
      </c>
      <c r="V7" s="29" t="s">
        <v>111</v>
      </c>
      <c r="W7" s="29" t="s">
        <v>110</v>
      </c>
      <c r="X7" s="29" t="s">
        <v>109</v>
      </c>
      <c r="Y7" s="29" t="s">
        <v>111</v>
      </c>
    </row>
    <row r="8" spans="3:25" ht="37.5">
      <c r="C8" s="44"/>
      <c r="D8" s="44"/>
      <c r="E8" s="44"/>
      <c r="F8" s="44"/>
      <c r="G8" s="44"/>
      <c r="H8" s="29" t="s">
        <v>112</v>
      </c>
      <c r="I8" s="29" t="s">
        <v>113</v>
      </c>
      <c r="J8" s="29" t="s">
        <v>114</v>
      </c>
      <c r="K8" s="29" t="s">
        <v>112</v>
      </c>
      <c r="L8" s="29" t="s">
        <v>113</v>
      </c>
      <c r="M8" s="29" t="s">
        <v>114</v>
      </c>
      <c r="N8" s="29" t="s">
        <v>112</v>
      </c>
      <c r="O8" s="29" t="s">
        <v>113</v>
      </c>
      <c r="P8" s="29" t="s">
        <v>114</v>
      </c>
      <c r="Q8" s="29" t="s">
        <v>112</v>
      </c>
      <c r="R8" s="29" t="s">
        <v>113</v>
      </c>
      <c r="S8" s="29" t="s">
        <v>114</v>
      </c>
      <c r="T8" s="29" t="s">
        <v>112</v>
      </c>
      <c r="U8" s="29" t="s">
        <v>113</v>
      </c>
      <c r="V8" s="29" t="s">
        <v>114</v>
      </c>
      <c r="W8" s="29" t="s">
        <v>112</v>
      </c>
      <c r="X8" s="29" t="s">
        <v>113</v>
      </c>
      <c r="Y8" s="29" t="s">
        <v>114</v>
      </c>
    </row>
    <row r="9" spans="3:25" ht="18.75">
      <c r="C9" s="1" t="s">
        <v>82</v>
      </c>
      <c r="D9" s="2"/>
      <c r="E9" s="2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3:25" ht="18.75">
      <c r="C10" s="1" t="s">
        <v>83</v>
      </c>
      <c r="D10" s="2"/>
      <c r="E10" s="20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3:25" ht="18.75">
      <c r="C11" s="3" t="s">
        <v>84</v>
      </c>
      <c r="D11" s="2" t="s">
        <v>85</v>
      </c>
      <c r="E11" s="20">
        <v>136.75</v>
      </c>
      <c r="F11" s="19">
        <v>136.54</v>
      </c>
      <c r="G11" s="19">
        <v>136.69</v>
      </c>
      <c r="H11" s="19">
        <f>G11*99.9%</f>
        <v>136.55331</v>
      </c>
      <c r="I11" s="19">
        <f>(G11+4)*100.2%</f>
        <v>140.97138</v>
      </c>
      <c r="J11" s="19">
        <f>(G11+4)*100.1%</f>
        <v>140.83068999999998</v>
      </c>
      <c r="K11" s="19">
        <f>(H11+4)*99.9%</f>
        <v>140.41275669000004</v>
      </c>
      <c r="L11" s="19">
        <f>I11*100.1%</f>
        <v>141.11235138</v>
      </c>
      <c r="M11" s="19">
        <f>J11</f>
        <v>140.83068999999998</v>
      </c>
      <c r="N11" s="19">
        <f>K11*99.8%</f>
        <v>140.13193117662004</v>
      </c>
      <c r="O11" s="19">
        <f>L11*100%</f>
        <v>141.11235138</v>
      </c>
      <c r="P11" s="19">
        <f>M11*99.9%</f>
        <v>140.68985931</v>
      </c>
      <c r="Q11" s="19">
        <f>N11*99.9%</f>
        <v>139.99179924544345</v>
      </c>
      <c r="R11" s="19">
        <f>O11*100.2%</f>
        <v>141.39457608276</v>
      </c>
      <c r="S11" s="19">
        <f>P11*99.8%</f>
        <v>140.40847959138</v>
      </c>
      <c r="T11" s="19">
        <f>Q11*99.7%</f>
        <v>139.57182384770712</v>
      </c>
      <c r="U11" s="19">
        <f>R11*99.9%</f>
        <v>141.25318150667727</v>
      </c>
      <c r="V11" s="19">
        <f>S11*99.7%</f>
        <v>139.98725415260586</v>
      </c>
      <c r="W11" s="19">
        <f>T11*99.6%</f>
        <v>139.01353655231628</v>
      </c>
      <c r="X11" s="19">
        <f>U11*99.8%</f>
        <v>140.9706751436639</v>
      </c>
      <c r="Y11" s="19">
        <f>V11*99.6%</f>
        <v>139.42730513599543</v>
      </c>
    </row>
    <row r="12" spans="3:25" ht="18.75">
      <c r="C12" s="8" t="s">
        <v>167</v>
      </c>
      <c r="D12" s="2" t="s">
        <v>85</v>
      </c>
      <c r="E12" s="20">
        <v>78.64</v>
      </c>
      <c r="F12" s="19">
        <v>78.17</v>
      </c>
      <c r="G12" s="19">
        <f>F12-0.6%</f>
        <v>78.164</v>
      </c>
      <c r="H12" s="19">
        <f>G12*98.9%</f>
        <v>77.304196</v>
      </c>
      <c r="I12" s="19">
        <f>(F12+2.24)*99.4%</f>
        <v>79.92754000000001</v>
      </c>
      <c r="J12" s="19">
        <f>(G12+2.24)*99.7%</f>
        <v>80.16278799999999</v>
      </c>
      <c r="K12" s="19">
        <f>(H12+2.24)*98.9%</f>
        <v>78.66920984400001</v>
      </c>
      <c r="L12" s="19">
        <f>I12*99.4%</f>
        <v>79.44797476000002</v>
      </c>
      <c r="M12" s="19">
        <f>J12*99.7%</f>
        <v>79.92229963599999</v>
      </c>
      <c r="N12" s="19">
        <f>K12*98.9%</f>
        <v>77.80384853571601</v>
      </c>
      <c r="O12" s="19">
        <f>L12*99.4%</f>
        <v>78.97128691144003</v>
      </c>
      <c r="P12" s="19">
        <f>M12*99.7%</f>
        <v>79.68253273709199</v>
      </c>
      <c r="Q12" s="19">
        <f>N12*98.9%</f>
        <v>76.94800620182315</v>
      </c>
      <c r="R12" s="19">
        <f>O12*99.4%</f>
        <v>78.4974591899714</v>
      </c>
      <c r="S12" s="19">
        <f>P12*99.7%</f>
        <v>79.44348513888072</v>
      </c>
      <c r="T12" s="19">
        <f>Q12*98.9%</f>
        <v>76.1015781336031</v>
      </c>
      <c r="U12" s="19">
        <f>R12*99.4%</f>
        <v>78.02647443483157</v>
      </c>
      <c r="V12" s="19">
        <f>S12*99.7%</f>
        <v>79.20515468346407</v>
      </c>
      <c r="W12" s="19">
        <f>T12*98.9%</f>
        <v>75.26446077413347</v>
      </c>
      <c r="X12" s="19">
        <f>U12*99.4%</f>
        <v>77.55831558822258</v>
      </c>
      <c r="Y12" s="19">
        <f>V12*99.7%</f>
        <v>78.96753921941368</v>
      </c>
    </row>
    <row r="13" spans="3:25" ht="37.5">
      <c r="C13" s="8" t="s">
        <v>168</v>
      </c>
      <c r="D13" s="2" t="s">
        <v>85</v>
      </c>
      <c r="E13" s="20">
        <v>34.41</v>
      </c>
      <c r="F13" s="19">
        <f>E13*102.1%</f>
        <v>35.13260999999999</v>
      </c>
      <c r="G13" s="19">
        <f>F13*102.1%</f>
        <v>35.870394809999986</v>
      </c>
      <c r="H13" s="19">
        <f>G13*102.2%</f>
        <v>36.65954349581999</v>
      </c>
      <c r="I13" s="19">
        <f>(G13+0.96)*102.1%</f>
        <v>37.60383310100998</v>
      </c>
      <c r="J13" s="19">
        <f>(G13+0.96)*101.2%</f>
        <v>37.27235954771999</v>
      </c>
      <c r="K13" s="19">
        <f>(H13+0.96)*102.2%</f>
        <v>38.44717345272803</v>
      </c>
      <c r="L13" s="19">
        <f>I13*102.1%</f>
        <v>38.393513596131186</v>
      </c>
      <c r="M13" s="19">
        <f>J13*101.2%</f>
        <v>37.719627862292626</v>
      </c>
      <c r="N13" s="19">
        <f>K13*102.2%</f>
        <v>39.29301126868805</v>
      </c>
      <c r="O13" s="19">
        <f>L13*102.1%</f>
        <v>39.19977738164994</v>
      </c>
      <c r="P13" s="19">
        <f>M13*101.2%</f>
        <v>38.17226339664014</v>
      </c>
      <c r="Q13" s="19">
        <f>N13*102.2%</f>
        <v>40.15745751659919</v>
      </c>
      <c r="R13" s="19">
        <f>O13*102.1%</f>
        <v>40.02297270666458</v>
      </c>
      <c r="S13" s="19">
        <f>P13*101.2%</f>
        <v>38.63033055739982</v>
      </c>
      <c r="T13" s="19">
        <f>Q13*102.2%</f>
        <v>41.04092158196437</v>
      </c>
      <c r="U13" s="19">
        <f>R13*102.1%</f>
        <v>40.86345513350454</v>
      </c>
      <c r="V13" s="19">
        <f>S13*101.2%</f>
        <v>39.09389452408862</v>
      </c>
      <c r="W13" s="19">
        <f>T13*102.2%</f>
        <v>41.943821856767585</v>
      </c>
      <c r="X13" s="19">
        <f>U13*102.1%</f>
        <v>41.72158769130813</v>
      </c>
      <c r="Y13" s="19">
        <f>V13*101.2%</f>
        <v>39.56302125837768</v>
      </c>
    </row>
    <row r="14" spans="3:25" ht="37.5">
      <c r="C14" s="3" t="s">
        <v>169</v>
      </c>
      <c r="D14" s="2" t="s">
        <v>170</v>
      </c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3:25" ht="37.5">
      <c r="C15" s="3" t="s">
        <v>87</v>
      </c>
      <c r="D15" s="2" t="s">
        <v>88</v>
      </c>
      <c r="E15" s="20">
        <v>12.2</v>
      </c>
      <c r="F15" s="19">
        <v>11.1</v>
      </c>
      <c r="G15" s="19">
        <v>11.2</v>
      </c>
      <c r="H15" s="19">
        <f>1532*91%/136550*1000</f>
        <v>10.209593555474187</v>
      </c>
      <c r="I15" s="19">
        <f>(1532+(1532*2.9%))*101.6%/140970*1000</f>
        <v>11.361643243243243</v>
      </c>
      <c r="J15" s="19">
        <f>(1532+(1532*2.9%))*101.9%/140830*1000</f>
        <v>11.406519434779522</v>
      </c>
      <c r="K15" s="19">
        <f>1576*91%/140410*1000</f>
        <v>10.214087315718254</v>
      </c>
      <c r="L15" s="19">
        <f>1576*101.6%/141110*1000</f>
        <v>11.34728934873503</v>
      </c>
      <c r="M15" s="19">
        <f>1576*101.9%/140830*1000</f>
        <v>11.403422566214585</v>
      </c>
      <c r="N15" s="19">
        <f>1576*91%/140130*1000</f>
        <v>10.23449653892814</v>
      </c>
      <c r="O15" s="19">
        <f>1576*101.6%/141110*1000</f>
        <v>11.34728934873503</v>
      </c>
      <c r="P15" s="19">
        <f>1576*101.9%/140690*1000</f>
        <v>11.414770061838084</v>
      </c>
      <c r="Q15" s="19">
        <f>1576*91%/139990*1000</f>
        <v>10.244731766554754</v>
      </c>
      <c r="R15" s="19">
        <f>1576*101.6%/141390*1000</f>
        <v>11.324817879623735</v>
      </c>
      <c r="S15" s="19">
        <f>1576*101.9%/140410*1000</f>
        <v>11.437532939249342</v>
      </c>
      <c r="T15" s="19">
        <f>1576*91%/139570*1000</f>
        <v>10.275560650569606</v>
      </c>
      <c r="U15" s="19">
        <f>1576*101.6%/141250*1000</f>
        <v>11.336042477876108</v>
      </c>
      <c r="V15" s="19">
        <f>1576*101.9%/139990*1000</f>
        <v>11.471847989142082</v>
      </c>
      <c r="W15" s="19">
        <f>1576*91%/139010*1000</f>
        <v>10.316955614703978</v>
      </c>
      <c r="X15" s="19">
        <f>1576*101.6%/140970*1000</f>
        <v>11.35855855855856</v>
      </c>
      <c r="Y15" s="19">
        <f>1576*101.9%/139430*1000</f>
        <v>11.517922972100697</v>
      </c>
    </row>
    <row r="16" spans="3:25" ht="37.5">
      <c r="C16" s="3" t="s">
        <v>89</v>
      </c>
      <c r="D16" s="2" t="s">
        <v>90</v>
      </c>
      <c r="E16" s="20">
        <v>9.8</v>
      </c>
      <c r="F16" s="19">
        <v>9.6</v>
      </c>
      <c r="G16" s="19">
        <v>9.6</v>
      </c>
      <c r="H16" s="19">
        <f>1313*100.8%/136550*1000</f>
        <v>9.692449652142072</v>
      </c>
      <c r="I16" s="19">
        <f>(1313+(1313*2.9%))*90.7%/140970*1000</f>
        <v>8.69282002553735</v>
      </c>
      <c r="J16" s="19">
        <f>(1313+(1313*2.9%))*96.7%/140830*1000</f>
        <v>9.277082006674716</v>
      </c>
      <c r="K16" s="19">
        <f>1351*100.8%/140410*1000</f>
        <v>9.698796382024073</v>
      </c>
      <c r="L16" s="19">
        <f>1351*90.7%/141110*1000</f>
        <v>8.683700659060307</v>
      </c>
      <c r="M16" s="19">
        <f>1351*96.7%/140830*1000</f>
        <v>9.276553291202159</v>
      </c>
      <c r="N16" s="19">
        <f>1351*100.8%/140130*1000</f>
        <v>9.718175979447656</v>
      </c>
      <c r="O16" s="19">
        <f>1351*90.7%/141110*1000</f>
        <v>8.683700659060307</v>
      </c>
      <c r="P16" s="19">
        <f>1351*96.7%/140690*1000</f>
        <v>9.285784348567773</v>
      </c>
      <c r="Q16" s="19">
        <f>1351*100.8%/139990*1000</f>
        <v>9.727894849632117</v>
      </c>
      <c r="R16" s="19">
        <f>1351*90.7%/141390*1000</f>
        <v>8.666503996039323</v>
      </c>
      <c r="S16" s="19">
        <f>1351*96.7%/140410*1000</f>
        <v>9.304301687913968</v>
      </c>
      <c r="T16" s="19">
        <f>1351*100.8%/139570*1000</f>
        <v>9.757168445941105</v>
      </c>
      <c r="U16" s="19">
        <f>1351*90.7%/141250*1000</f>
        <v>8.675093805309734</v>
      </c>
      <c r="V16" s="19">
        <f>1351*96.7%/139990*1000</f>
        <v>9.332216586899065</v>
      </c>
      <c r="W16" s="19">
        <f>1351*100.8%/139010*1000</f>
        <v>9.796475073735703</v>
      </c>
      <c r="X16" s="19">
        <f>1351*90.7%/140970*1000</f>
        <v>8.692324608072639</v>
      </c>
      <c r="Y16" s="19">
        <f>1351*96.7%/139430*1000</f>
        <v>9.369698056372375</v>
      </c>
    </row>
    <row r="17" spans="3:25" ht="18.75">
      <c r="C17" s="3" t="s">
        <v>91</v>
      </c>
      <c r="D17" s="2" t="s">
        <v>92</v>
      </c>
      <c r="E17" s="20">
        <v>2.4</v>
      </c>
      <c r="F17" s="19">
        <v>1.5</v>
      </c>
      <c r="G17" s="19">
        <f aca="true" t="shared" si="0" ref="G17:Y17">G15-G16</f>
        <v>1.5999999999999996</v>
      </c>
      <c r="H17" s="19">
        <f t="shared" si="0"/>
        <v>0.5171439033321157</v>
      </c>
      <c r="I17" s="19">
        <f t="shared" si="0"/>
        <v>2.668823217705894</v>
      </c>
      <c r="J17" s="19">
        <f t="shared" si="0"/>
        <v>2.129437428104806</v>
      </c>
      <c r="K17" s="19">
        <f t="shared" si="0"/>
        <v>0.5152909336941818</v>
      </c>
      <c r="L17" s="19">
        <f t="shared" si="0"/>
        <v>2.6635886896747234</v>
      </c>
      <c r="M17" s="19">
        <f t="shared" si="0"/>
        <v>2.1268692750124263</v>
      </c>
      <c r="N17" s="19">
        <f t="shared" si="0"/>
        <v>0.5163205594804836</v>
      </c>
      <c r="O17" s="19">
        <f t="shared" si="0"/>
        <v>2.6635886896747234</v>
      </c>
      <c r="P17" s="19">
        <f t="shared" si="0"/>
        <v>2.1289857132703105</v>
      </c>
      <c r="Q17" s="19">
        <f t="shared" si="0"/>
        <v>0.516836916922637</v>
      </c>
      <c r="R17" s="19">
        <f t="shared" si="0"/>
        <v>2.6583138835844125</v>
      </c>
      <c r="S17" s="19">
        <f t="shared" si="0"/>
        <v>2.133231251335374</v>
      </c>
      <c r="T17" s="19">
        <f t="shared" si="0"/>
        <v>0.5183922046285012</v>
      </c>
      <c r="U17" s="19">
        <f t="shared" si="0"/>
        <v>2.6609486725663736</v>
      </c>
      <c r="V17" s="19">
        <f t="shared" si="0"/>
        <v>2.139631402243017</v>
      </c>
      <c r="W17" s="19">
        <f t="shared" si="0"/>
        <v>0.5204805409682756</v>
      </c>
      <c r="X17" s="19">
        <f t="shared" si="0"/>
        <v>2.666233950485921</v>
      </c>
      <c r="Y17" s="19">
        <f t="shared" si="0"/>
        <v>2.1482249157283224</v>
      </c>
    </row>
    <row r="18" spans="3:25" ht="18.75">
      <c r="C18" s="3" t="s">
        <v>171</v>
      </c>
      <c r="D18" s="2" t="s">
        <v>172</v>
      </c>
      <c r="E18" s="20">
        <v>-0.46</v>
      </c>
      <c r="F18" s="19">
        <v>-0.51</v>
      </c>
      <c r="G18" s="19">
        <v>-0.37</v>
      </c>
      <c r="H18" s="19">
        <v>-0.5</v>
      </c>
      <c r="I18" s="19">
        <v>-0.4</v>
      </c>
      <c r="J18" s="19">
        <v>-0.4</v>
      </c>
      <c r="K18" s="19">
        <v>-0.5</v>
      </c>
      <c r="L18" s="19">
        <v>-0.4</v>
      </c>
      <c r="M18" s="19">
        <v>-0.4</v>
      </c>
      <c r="N18" s="19">
        <v>-0.5</v>
      </c>
      <c r="O18" s="19">
        <v>-0.4</v>
      </c>
      <c r="P18" s="19">
        <v>-0.4</v>
      </c>
      <c r="Q18" s="19">
        <v>-0.5</v>
      </c>
      <c r="R18" s="19">
        <v>-0.4</v>
      </c>
      <c r="S18" s="19">
        <v>-0.4</v>
      </c>
      <c r="T18" s="19">
        <v>-0.5</v>
      </c>
      <c r="U18" s="19">
        <v>-0.4</v>
      </c>
      <c r="V18" s="19">
        <v>-0.4</v>
      </c>
      <c r="W18" s="19">
        <v>-0.5</v>
      </c>
      <c r="X18" s="19">
        <v>-0.4</v>
      </c>
      <c r="Y18" s="19">
        <v>-0.4</v>
      </c>
    </row>
    <row r="19" spans="3:25" ht="18.75">
      <c r="C19" s="1" t="s">
        <v>93</v>
      </c>
      <c r="D19" s="2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3:25" ht="18.75">
      <c r="C20" s="1" t="s">
        <v>116</v>
      </c>
      <c r="D20" s="2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3:25" ht="18.75">
      <c r="C21" s="1" t="s">
        <v>95</v>
      </c>
      <c r="D21" s="2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3:25" ht="75">
      <c r="C22" s="3" t="s">
        <v>100</v>
      </c>
      <c r="D22" s="2" t="s">
        <v>94</v>
      </c>
      <c r="E22" s="2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</row>
    <row r="23" spans="3:25" ht="40.5" customHeight="1">
      <c r="C23" s="3" t="s">
        <v>101</v>
      </c>
      <c r="D23" s="2" t="s">
        <v>74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3:25" ht="18.75">
      <c r="C24" s="1" t="s">
        <v>96</v>
      </c>
      <c r="D24" s="2"/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3:25" ht="75">
      <c r="C25" s="3" t="s">
        <v>102</v>
      </c>
      <c r="D25" s="2" t="s">
        <v>94</v>
      </c>
      <c r="E25" s="20">
        <v>3414.2</v>
      </c>
      <c r="F25" s="19">
        <v>2779.31</v>
      </c>
      <c r="G25" s="19">
        <v>2684.14</v>
      </c>
      <c r="H25" s="19">
        <f>G25*H26/100</f>
        <v>2737.8228</v>
      </c>
      <c r="I25" s="19">
        <f>G25*I26/100</f>
        <v>2788.82146</v>
      </c>
      <c r="J25" s="19">
        <f aca="true" t="shared" si="1" ref="J25:Y25">G25*J26/100</f>
        <v>2818.347</v>
      </c>
      <c r="K25" s="19">
        <f t="shared" si="1"/>
        <v>2792.579256</v>
      </c>
      <c r="L25" s="19">
        <f t="shared" si="1"/>
        <v>2886.4302111</v>
      </c>
      <c r="M25" s="19">
        <f t="shared" si="1"/>
        <v>2931.0808800000004</v>
      </c>
      <c r="N25" s="19">
        <f t="shared" si="1"/>
        <v>2848.43084112</v>
      </c>
      <c r="O25" s="19">
        <f t="shared" si="1"/>
        <v>2987.4552684885</v>
      </c>
      <c r="P25" s="19">
        <f t="shared" si="1"/>
        <v>3048.3241152</v>
      </c>
      <c r="Q25" s="19">
        <f t="shared" si="1"/>
        <v>2905.3994579423997</v>
      </c>
      <c r="R25" s="19">
        <f t="shared" si="1"/>
        <v>3095.0036581540858</v>
      </c>
      <c r="S25" s="19">
        <f t="shared" si="1"/>
        <v>3170.257079808</v>
      </c>
      <c r="T25" s="19">
        <f t="shared" si="1"/>
        <v>2992.561441680672</v>
      </c>
      <c r="U25" s="19">
        <f t="shared" si="1"/>
        <v>3218.803804480249</v>
      </c>
      <c r="V25" s="19">
        <f t="shared" si="1"/>
        <v>3328.7699337984</v>
      </c>
      <c r="W25" s="19">
        <f t="shared" si="1"/>
        <v>3082.338284931092</v>
      </c>
      <c r="X25" s="19">
        <f t="shared" si="1"/>
        <v>3353.9935642684195</v>
      </c>
      <c r="Y25" s="19">
        <f t="shared" si="1"/>
        <v>3495.2084304883197</v>
      </c>
    </row>
    <row r="26" spans="3:25" ht="37.5">
      <c r="C26" s="3" t="s">
        <v>103</v>
      </c>
      <c r="D26" s="2" t="s">
        <v>74</v>
      </c>
      <c r="E26" s="20">
        <v>91.8</v>
      </c>
      <c r="F26" s="19">
        <v>82</v>
      </c>
      <c r="G26" s="19">
        <v>96.6</v>
      </c>
      <c r="H26" s="19">
        <v>102</v>
      </c>
      <c r="I26" s="19">
        <v>103.9</v>
      </c>
      <c r="J26" s="19">
        <v>105</v>
      </c>
      <c r="K26" s="19">
        <v>102</v>
      </c>
      <c r="L26" s="19">
        <v>103.5</v>
      </c>
      <c r="M26" s="19">
        <v>104</v>
      </c>
      <c r="N26" s="19">
        <v>102</v>
      </c>
      <c r="O26" s="19">
        <v>103.5</v>
      </c>
      <c r="P26" s="19">
        <v>104</v>
      </c>
      <c r="Q26" s="19">
        <v>102</v>
      </c>
      <c r="R26" s="19">
        <v>103.6</v>
      </c>
      <c r="S26" s="19">
        <v>104</v>
      </c>
      <c r="T26" s="19">
        <v>103</v>
      </c>
      <c r="U26" s="19">
        <v>104</v>
      </c>
      <c r="V26" s="19">
        <v>105</v>
      </c>
      <c r="W26" s="19">
        <v>103</v>
      </c>
      <c r="X26" s="19">
        <v>104.2</v>
      </c>
      <c r="Y26" s="19">
        <v>105</v>
      </c>
    </row>
    <row r="27" spans="3:25" ht="75">
      <c r="C27" s="3" t="s">
        <v>122</v>
      </c>
      <c r="D27" s="2" t="s">
        <v>94</v>
      </c>
      <c r="E27" s="20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</row>
    <row r="28" spans="3:25" ht="37.5">
      <c r="C28" s="3" t="s">
        <v>123</v>
      </c>
      <c r="D28" s="2" t="s">
        <v>74</v>
      </c>
      <c r="E28" s="20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</row>
    <row r="29" spans="3:25" ht="75">
      <c r="C29" s="3" t="s">
        <v>124</v>
      </c>
      <c r="D29" s="2" t="s">
        <v>94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3:25" ht="37.5">
      <c r="C30" s="3" t="s">
        <v>125</v>
      </c>
      <c r="D30" s="2" t="s">
        <v>74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3:25" ht="75">
      <c r="C31" s="3" t="s">
        <v>126</v>
      </c>
      <c r="D31" s="2" t="s">
        <v>94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3:25" ht="37.5">
      <c r="C32" s="3" t="s">
        <v>127</v>
      </c>
      <c r="D32" s="2" t="s">
        <v>74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3:25" ht="75">
      <c r="C33" s="3" t="s">
        <v>128</v>
      </c>
      <c r="D33" s="2" t="s">
        <v>94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3:25" ht="37.5">
      <c r="C34" s="3" t="s">
        <v>118</v>
      </c>
      <c r="D34" s="2" t="s">
        <v>74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3:25" ht="75">
      <c r="C35" s="3" t="s">
        <v>129</v>
      </c>
      <c r="D35" s="2" t="s">
        <v>94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3:25" ht="37.5">
      <c r="C36" s="3" t="s">
        <v>130</v>
      </c>
      <c r="D36" s="2" t="s">
        <v>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3:25" ht="112.5">
      <c r="C37" s="3" t="s">
        <v>131</v>
      </c>
      <c r="D37" s="2" t="s">
        <v>94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3:25" ht="75">
      <c r="C38" s="3" t="s">
        <v>132</v>
      </c>
      <c r="D38" s="2" t="s">
        <v>74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3:25" ht="75">
      <c r="C39" s="3" t="s">
        <v>119</v>
      </c>
      <c r="D39" s="2" t="s">
        <v>94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3:25" ht="37.5">
      <c r="C40" s="3" t="s">
        <v>120</v>
      </c>
      <c r="D40" s="2" t="s">
        <v>74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3:25" ht="93.75">
      <c r="C41" s="3" t="s">
        <v>121</v>
      </c>
      <c r="D41" s="2" t="s">
        <v>94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3:25" ht="56.25">
      <c r="C42" s="3" t="s">
        <v>133</v>
      </c>
      <c r="D42" s="2" t="s">
        <v>74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3:25" ht="75">
      <c r="C43" s="3" t="s">
        <v>155</v>
      </c>
      <c r="D43" s="2" t="s">
        <v>94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3:25" ht="37.5">
      <c r="C44" s="3" t="s">
        <v>156</v>
      </c>
      <c r="D44" s="2" t="s">
        <v>74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3:25" ht="93.75">
      <c r="C45" s="3" t="s">
        <v>134</v>
      </c>
      <c r="D45" s="2" t="s">
        <v>94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3:25" ht="56.25">
      <c r="C46" s="3" t="s">
        <v>135</v>
      </c>
      <c r="D46" s="2" t="s">
        <v>74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3:25" ht="75">
      <c r="C47" s="3" t="s">
        <v>136</v>
      </c>
      <c r="D47" s="2" t="s">
        <v>94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3:25" ht="37.5">
      <c r="C48" s="3" t="s">
        <v>137</v>
      </c>
      <c r="D48" s="2" t="s">
        <v>74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3:25" ht="75">
      <c r="C49" s="3" t="s">
        <v>138</v>
      </c>
      <c r="D49" s="2" t="s">
        <v>94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3:25" ht="37.5">
      <c r="C50" s="3" t="s">
        <v>139</v>
      </c>
      <c r="D50" s="2" t="s">
        <v>74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3:25" ht="75">
      <c r="C51" s="3" t="s">
        <v>140</v>
      </c>
      <c r="D51" s="2" t="s">
        <v>94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3:25" ht="37.5">
      <c r="C52" s="3" t="s">
        <v>141</v>
      </c>
      <c r="D52" s="2" t="s">
        <v>74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3:25" ht="93.75">
      <c r="C53" s="3" t="s">
        <v>142</v>
      </c>
      <c r="D53" s="2" t="s">
        <v>94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3:25" ht="56.25">
      <c r="C54" s="3" t="s">
        <v>143</v>
      </c>
      <c r="D54" s="2" t="s">
        <v>74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3:25" ht="93.75">
      <c r="C55" s="3" t="s">
        <v>144</v>
      </c>
      <c r="D55" s="2" t="s">
        <v>94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3:25" ht="56.25">
      <c r="C56" s="3" t="s">
        <v>145</v>
      </c>
      <c r="D56" s="2" t="s">
        <v>74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3:25" ht="75">
      <c r="C57" s="3" t="s">
        <v>146</v>
      </c>
      <c r="D57" s="2" t="s">
        <v>94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3:25" ht="37.5">
      <c r="C58" s="3" t="s">
        <v>147</v>
      </c>
      <c r="D58" s="2" t="s">
        <v>74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3:25" ht="75">
      <c r="C59" s="3" t="s">
        <v>148</v>
      </c>
      <c r="D59" s="2" t="s">
        <v>94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3:25" ht="37.5">
      <c r="C60" s="3" t="s">
        <v>149</v>
      </c>
      <c r="D60" s="2" t="s">
        <v>74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3:25" ht="56.25">
      <c r="C61" s="3" t="s">
        <v>150</v>
      </c>
      <c r="D61" s="2" t="s">
        <v>94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3:25" ht="37.5">
      <c r="C62" s="3" t="s">
        <v>151</v>
      </c>
      <c r="D62" s="2" t="s">
        <v>74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3:25" ht="75">
      <c r="C63" s="3" t="s">
        <v>152</v>
      </c>
      <c r="D63" s="2" t="s">
        <v>94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3:25" ht="37.5">
      <c r="C64" s="3" t="s">
        <v>153</v>
      </c>
      <c r="D64" s="2" t="s">
        <v>74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3:25" ht="37.5">
      <c r="C65" s="1" t="s">
        <v>104</v>
      </c>
      <c r="D65" s="2"/>
      <c r="E65" s="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3:25" ht="93.75">
      <c r="C66" s="3" t="s">
        <v>154</v>
      </c>
      <c r="D66" s="2" t="s">
        <v>94</v>
      </c>
      <c r="E66" s="20">
        <v>1787.93</v>
      </c>
      <c r="F66" s="19">
        <v>2610.11</v>
      </c>
      <c r="G66" s="19">
        <f>F66*G67/100</f>
        <v>2722.34473</v>
      </c>
      <c r="H66" s="19">
        <f>I66</f>
        <v>2858.4619665</v>
      </c>
      <c r="I66" s="19">
        <f>G66*I67/100</f>
        <v>2858.4619665</v>
      </c>
      <c r="J66" s="19">
        <f>I66</f>
        <v>2858.4619665</v>
      </c>
      <c r="K66" s="19">
        <f>L66</f>
        <v>2978.5173690930005</v>
      </c>
      <c r="L66" s="19">
        <f>I66*L67/100</f>
        <v>2978.5173690930005</v>
      </c>
      <c r="M66" s="19">
        <f>L66</f>
        <v>2978.5173690930005</v>
      </c>
      <c r="N66" s="19">
        <f>O66</f>
        <v>3097.6580638567207</v>
      </c>
      <c r="O66" s="19">
        <f>L66*O67/100</f>
        <v>3097.6580638567207</v>
      </c>
      <c r="P66" s="19">
        <f>O66</f>
        <v>3097.6580638567207</v>
      </c>
      <c r="Q66" s="19">
        <f>R66</f>
        <v>3218.466728347133</v>
      </c>
      <c r="R66" s="19">
        <f>O66*R67/100</f>
        <v>3218.466728347133</v>
      </c>
      <c r="S66" s="19">
        <f>R66</f>
        <v>3218.466728347133</v>
      </c>
      <c r="T66" s="19">
        <f>U66</f>
        <v>3343.9869307526715</v>
      </c>
      <c r="U66" s="19">
        <f>R66*U67/100</f>
        <v>3343.9869307526715</v>
      </c>
      <c r="V66" s="19">
        <f>U66</f>
        <v>3343.9869307526715</v>
      </c>
      <c r="W66" s="19">
        <f>X66</f>
        <v>3471.058434121273</v>
      </c>
      <c r="X66" s="19">
        <f>U66*X67/100</f>
        <v>3471.058434121273</v>
      </c>
      <c r="Y66" s="19">
        <f>X66</f>
        <v>3471.058434121273</v>
      </c>
    </row>
    <row r="67" spans="3:25" ht="56.25">
      <c r="C67" s="3" t="s">
        <v>115</v>
      </c>
      <c r="D67" s="2" t="s">
        <v>74</v>
      </c>
      <c r="E67" s="20">
        <v>105.2</v>
      </c>
      <c r="F67" s="19">
        <v>108.1</v>
      </c>
      <c r="G67" s="19">
        <v>104.3</v>
      </c>
      <c r="H67" s="19">
        <f>I67</f>
        <v>105</v>
      </c>
      <c r="I67" s="19">
        <v>105</v>
      </c>
      <c r="J67" s="19">
        <f>I67</f>
        <v>105</v>
      </c>
      <c r="K67" s="19">
        <f>L67</f>
        <v>104.2</v>
      </c>
      <c r="L67" s="19">
        <v>104.2</v>
      </c>
      <c r="M67" s="19">
        <f>L67</f>
        <v>104.2</v>
      </c>
      <c r="N67" s="19">
        <f>O67</f>
        <v>104</v>
      </c>
      <c r="O67" s="19">
        <v>104</v>
      </c>
      <c r="P67" s="19">
        <f>O67</f>
        <v>104</v>
      </c>
      <c r="Q67" s="19">
        <f>R67</f>
        <v>103.9</v>
      </c>
      <c r="R67" s="19">
        <v>103.9</v>
      </c>
      <c r="S67" s="19">
        <f>R67</f>
        <v>103.9</v>
      </c>
      <c r="T67" s="19">
        <f>U67</f>
        <v>103.9</v>
      </c>
      <c r="U67" s="19">
        <v>103.9</v>
      </c>
      <c r="V67" s="19">
        <f>U67</f>
        <v>103.9</v>
      </c>
      <c r="W67" s="19">
        <f>X67</f>
        <v>103.8</v>
      </c>
      <c r="X67" s="19">
        <v>103.8</v>
      </c>
      <c r="Y67" s="19">
        <f>X67</f>
        <v>103.8</v>
      </c>
    </row>
    <row r="68" spans="3:25" ht="56.25">
      <c r="C68" s="1" t="s">
        <v>107</v>
      </c>
      <c r="D68" s="2"/>
      <c r="E68" s="2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3:25" ht="112.5">
      <c r="C69" s="3" t="s">
        <v>105</v>
      </c>
      <c r="D69" s="2" t="s">
        <v>94</v>
      </c>
      <c r="E69" s="20">
        <v>579.87</v>
      </c>
      <c r="F69" s="19">
        <v>500.19</v>
      </c>
      <c r="G69" s="19">
        <v>517.4</v>
      </c>
      <c r="H69" s="19">
        <f>I69</f>
        <v>538.096</v>
      </c>
      <c r="I69" s="19">
        <f>G69*104/100</f>
        <v>538.096</v>
      </c>
      <c r="J69" s="19">
        <f>I69</f>
        <v>538.096</v>
      </c>
      <c r="K69" s="19">
        <f>J69</f>
        <v>538.096</v>
      </c>
      <c r="L69" s="19">
        <f>I69*L70/100</f>
        <v>559.61984</v>
      </c>
      <c r="M69" s="19">
        <f>L69</f>
        <v>559.61984</v>
      </c>
      <c r="N69" s="19">
        <f>M69</f>
        <v>559.61984</v>
      </c>
      <c r="O69" s="19">
        <f>L69*O70/100</f>
        <v>582.0046335999999</v>
      </c>
      <c r="P69" s="19">
        <f>O69</f>
        <v>582.0046335999999</v>
      </c>
      <c r="Q69" s="19">
        <f>P69</f>
        <v>582.0046335999999</v>
      </c>
      <c r="R69" s="19">
        <f>O69*R70/100</f>
        <v>605.2848189439999</v>
      </c>
      <c r="S69" s="19">
        <f>R69</f>
        <v>605.2848189439999</v>
      </c>
      <c r="T69" s="19">
        <f>S69</f>
        <v>605.2848189439999</v>
      </c>
      <c r="U69" s="19">
        <f>R69*U70/100</f>
        <v>629.4962117017599</v>
      </c>
      <c r="V69" s="19">
        <f>U69</f>
        <v>629.4962117017599</v>
      </c>
      <c r="W69" s="19">
        <f>V69</f>
        <v>629.4962117017599</v>
      </c>
      <c r="X69" s="19">
        <f>U69*X70/100</f>
        <v>654.6760601698303</v>
      </c>
      <c r="Y69" s="19">
        <f>X69</f>
        <v>654.6760601698303</v>
      </c>
    </row>
    <row r="70" spans="3:26" ht="56.25">
      <c r="C70" s="3" t="s">
        <v>106</v>
      </c>
      <c r="D70" s="2" t="s">
        <v>74</v>
      </c>
      <c r="E70" s="20">
        <v>100.4</v>
      </c>
      <c r="F70" s="19">
        <v>101</v>
      </c>
      <c r="G70" s="19">
        <f>G69/F69*100</f>
        <v>103.44069253683598</v>
      </c>
      <c r="H70" s="19">
        <f>I70</f>
        <v>104</v>
      </c>
      <c r="I70" s="19">
        <v>104</v>
      </c>
      <c r="J70" s="19">
        <f>I70</f>
        <v>104</v>
      </c>
      <c r="K70" s="19">
        <f>J70</f>
        <v>104</v>
      </c>
      <c r="L70" s="19">
        <v>104</v>
      </c>
      <c r="M70" s="19">
        <f>L70</f>
        <v>104</v>
      </c>
      <c r="N70" s="19">
        <f>M70</f>
        <v>104</v>
      </c>
      <c r="O70" s="19">
        <v>104</v>
      </c>
      <c r="P70" s="19">
        <f>O70</f>
        <v>104</v>
      </c>
      <c r="Q70" s="19">
        <f>P70</f>
        <v>104</v>
      </c>
      <c r="R70" s="19">
        <v>104</v>
      </c>
      <c r="S70" s="19">
        <f>R70</f>
        <v>104</v>
      </c>
      <c r="T70" s="19">
        <f>S70</f>
        <v>104</v>
      </c>
      <c r="U70" s="19">
        <v>104</v>
      </c>
      <c r="V70" s="19">
        <f>U70</f>
        <v>104</v>
      </c>
      <c r="W70" s="19">
        <f>V70</f>
        <v>104</v>
      </c>
      <c r="X70" s="19">
        <v>104</v>
      </c>
      <c r="Y70" s="19">
        <f>X70</f>
        <v>104</v>
      </c>
      <c r="Z70" s="22"/>
    </row>
    <row r="71" spans="3:25" ht="18.75">
      <c r="C71" s="1" t="s">
        <v>0</v>
      </c>
      <c r="D71" s="2"/>
      <c r="E71" s="20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3:25" ht="18.75">
      <c r="C72" s="4" t="s">
        <v>1</v>
      </c>
      <c r="D72" s="9" t="s">
        <v>2</v>
      </c>
      <c r="E72" s="19">
        <f>E75</f>
        <v>123.45</v>
      </c>
      <c r="F72" s="19">
        <f>F75</f>
        <v>123.45</v>
      </c>
      <c r="G72" s="19">
        <f>G75</f>
        <v>100.19</v>
      </c>
      <c r="H72" s="19">
        <f aca="true" t="shared" si="2" ref="H72:Y72">H75</f>
        <v>101.1919</v>
      </c>
      <c r="I72" s="19">
        <f t="shared" si="2"/>
        <v>101.49246999999998</v>
      </c>
      <c r="J72" s="19">
        <f t="shared" si="2"/>
        <v>101.49246999999998</v>
      </c>
      <c r="K72" s="19">
        <f t="shared" si="2"/>
        <v>102.20381900000001</v>
      </c>
      <c r="L72" s="19">
        <f t="shared" si="2"/>
        <v>103.11634951999999</v>
      </c>
      <c r="M72" s="19">
        <f t="shared" si="2"/>
        <v>103.11634951999999</v>
      </c>
      <c r="N72" s="19">
        <f t="shared" si="2"/>
        <v>103.22585719000001</v>
      </c>
      <c r="O72" s="19">
        <f t="shared" si="2"/>
        <v>105.07556016088</v>
      </c>
      <c r="P72" s="19">
        <f t="shared" si="2"/>
        <v>105.07556016088</v>
      </c>
      <c r="Q72" s="19">
        <f t="shared" si="2"/>
        <v>104.25811576190002</v>
      </c>
      <c r="R72" s="19">
        <f t="shared" si="2"/>
        <v>107.38722248441937</v>
      </c>
      <c r="S72" s="19">
        <f t="shared" si="2"/>
        <v>107.38722248441937</v>
      </c>
      <c r="T72" s="19">
        <f t="shared" si="2"/>
        <v>105.30069691951901</v>
      </c>
      <c r="U72" s="19">
        <f t="shared" si="2"/>
        <v>110.07190304652984</v>
      </c>
      <c r="V72" s="19">
        <f t="shared" si="2"/>
        <v>110.07190304652984</v>
      </c>
      <c r="W72" s="19">
        <f t="shared" si="2"/>
        <v>106.35370388871421</v>
      </c>
      <c r="X72" s="19">
        <f t="shared" si="2"/>
        <v>113.26398823487922</v>
      </c>
      <c r="Y72" s="19">
        <f t="shared" si="2"/>
        <v>113.26398823487922</v>
      </c>
    </row>
    <row r="73" spans="3:25" ht="37.5">
      <c r="C73" s="3" t="s">
        <v>3</v>
      </c>
      <c r="D73" s="2" t="s">
        <v>27</v>
      </c>
      <c r="E73" s="20">
        <v>46.5</v>
      </c>
      <c r="F73" s="19">
        <f>F76</f>
        <v>99.70089730807577</v>
      </c>
      <c r="G73" s="19">
        <f>G76</f>
        <v>82.0610350960607</v>
      </c>
      <c r="H73" s="19">
        <f aca="true" t="shared" si="3" ref="H73:Y73">H76</f>
        <v>97.58454106280193</v>
      </c>
      <c r="I73" s="19">
        <f t="shared" si="3"/>
        <v>97.87439613526568</v>
      </c>
      <c r="J73" s="19">
        <f t="shared" si="3"/>
        <v>97.87439613526568</v>
      </c>
      <c r="K73" s="19">
        <f t="shared" si="3"/>
        <v>97.9631425800194</v>
      </c>
      <c r="L73" s="19">
        <f t="shared" si="3"/>
        <v>98.54510184287099</v>
      </c>
      <c r="M73" s="19">
        <f t="shared" si="3"/>
        <v>98.54510184287099</v>
      </c>
      <c r="N73" s="19">
        <f t="shared" si="3"/>
        <v>97.77347531461763</v>
      </c>
      <c r="O73" s="19">
        <f t="shared" si="3"/>
        <v>98.64472410454987</v>
      </c>
      <c r="P73" s="19">
        <f t="shared" si="3"/>
        <v>98.64472410454987</v>
      </c>
      <c r="Q73" s="19">
        <f t="shared" si="3"/>
        <v>97.39633558341369</v>
      </c>
      <c r="R73" s="19">
        <f t="shared" si="3"/>
        <v>98.55351976856316</v>
      </c>
      <c r="S73" s="19">
        <f t="shared" si="3"/>
        <v>98.55351976856316</v>
      </c>
      <c r="T73" s="19">
        <f t="shared" si="3"/>
        <v>97.11538461538463</v>
      </c>
      <c r="U73" s="19">
        <f t="shared" si="3"/>
        <v>98.5576923076923</v>
      </c>
      <c r="V73" s="19">
        <f t="shared" si="3"/>
        <v>98.5576923076923</v>
      </c>
      <c r="W73" s="19">
        <f t="shared" si="3"/>
        <v>96.92898272552783</v>
      </c>
      <c r="X73" s="19">
        <f t="shared" si="3"/>
        <v>98.7523992322457</v>
      </c>
      <c r="Y73" s="19">
        <f t="shared" si="3"/>
        <v>98.7523992322457</v>
      </c>
    </row>
    <row r="74" spans="3:25" ht="37.5">
      <c r="C74" s="3" t="s">
        <v>4</v>
      </c>
      <c r="D74" s="2"/>
      <c r="E74" s="20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3:25" ht="18.75">
      <c r="C75" s="3" t="s">
        <v>5</v>
      </c>
      <c r="D75" s="2" t="s">
        <v>6</v>
      </c>
      <c r="E75" s="20">
        <v>123.45</v>
      </c>
      <c r="F75" s="19">
        <f>E75</f>
        <v>123.45</v>
      </c>
      <c r="G75" s="19">
        <v>100.19</v>
      </c>
      <c r="H75" s="19">
        <f>G75*101%</f>
        <v>101.1919</v>
      </c>
      <c r="I75" s="19">
        <f>G75*101.3%</f>
        <v>101.49246999999998</v>
      </c>
      <c r="J75" s="19">
        <f>I75</f>
        <v>101.49246999999998</v>
      </c>
      <c r="K75" s="19">
        <f>H75*101%</f>
        <v>102.20381900000001</v>
      </c>
      <c r="L75" s="19">
        <f>I75*101.6%</f>
        <v>103.11634951999999</v>
      </c>
      <c r="M75" s="19">
        <f>L75</f>
        <v>103.11634951999999</v>
      </c>
      <c r="N75" s="19">
        <f>K75*101%</f>
        <v>103.22585719000001</v>
      </c>
      <c r="O75" s="19">
        <f>L75*101.9%</f>
        <v>105.07556016088</v>
      </c>
      <c r="P75" s="19">
        <f>O75</f>
        <v>105.07556016088</v>
      </c>
      <c r="Q75" s="19">
        <f>N75*101%</f>
        <v>104.25811576190002</v>
      </c>
      <c r="R75" s="19">
        <f>O75*102.2%</f>
        <v>107.38722248441937</v>
      </c>
      <c r="S75" s="19">
        <f>R75</f>
        <v>107.38722248441937</v>
      </c>
      <c r="T75" s="19">
        <f>Q75*101%</f>
        <v>105.30069691951901</v>
      </c>
      <c r="U75" s="19">
        <f>R75*102.5%</f>
        <v>110.07190304652984</v>
      </c>
      <c r="V75" s="19">
        <f>U75</f>
        <v>110.07190304652984</v>
      </c>
      <c r="W75" s="19">
        <f>T75*101%</f>
        <v>106.35370388871421</v>
      </c>
      <c r="X75" s="19">
        <f>U75*102.9%</f>
        <v>113.26398823487922</v>
      </c>
      <c r="Y75" s="19">
        <f>X75</f>
        <v>113.26398823487922</v>
      </c>
    </row>
    <row r="76" spans="3:25" ht="37.5">
      <c r="C76" s="3" t="s">
        <v>7</v>
      </c>
      <c r="D76" s="2" t="s">
        <v>27</v>
      </c>
      <c r="E76" s="20">
        <v>46.5</v>
      </c>
      <c r="F76" s="19">
        <f>F75/E75/100.3*10000</f>
        <v>99.70089730807577</v>
      </c>
      <c r="G76" s="19">
        <f>G75/F75/98.9*10000</f>
        <v>82.0610350960607</v>
      </c>
      <c r="H76" s="19">
        <f>H75/G75/103.5*10000</f>
        <v>97.58454106280193</v>
      </c>
      <c r="I76" s="19">
        <f>I75/G75/103.5*10000</f>
        <v>97.87439613526568</v>
      </c>
      <c r="J76" s="19">
        <f>I76</f>
        <v>97.87439613526568</v>
      </c>
      <c r="K76" s="19">
        <f>K75/H75/103.1*10000</f>
        <v>97.9631425800194</v>
      </c>
      <c r="L76" s="19">
        <f>L75/I75/103.1*10000</f>
        <v>98.54510184287099</v>
      </c>
      <c r="M76" s="19">
        <f>L76</f>
        <v>98.54510184287099</v>
      </c>
      <c r="N76" s="19">
        <f>N75/K75/103.3*10000</f>
        <v>97.77347531461763</v>
      </c>
      <c r="O76" s="19">
        <f>O75/L75/103.3*10000</f>
        <v>98.64472410454987</v>
      </c>
      <c r="P76" s="19">
        <f>O76</f>
        <v>98.64472410454987</v>
      </c>
      <c r="Q76" s="19">
        <f>Q75/N75/103.7*10000</f>
        <v>97.39633558341369</v>
      </c>
      <c r="R76" s="19">
        <f>R75/O75/103.7*10000</f>
        <v>98.55351976856316</v>
      </c>
      <c r="S76" s="19">
        <f>R76</f>
        <v>98.55351976856316</v>
      </c>
      <c r="T76" s="19">
        <f>T75/Q75/104*10000</f>
        <v>97.11538461538463</v>
      </c>
      <c r="U76" s="19">
        <f>U75/R75/104*10000</f>
        <v>98.5576923076923</v>
      </c>
      <c r="V76" s="19">
        <f>U76</f>
        <v>98.5576923076923</v>
      </c>
      <c r="W76" s="19">
        <f>W75/T75/104.2*10000</f>
        <v>96.92898272552783</v>
      </c>
      <c r="X76" s="19">
        <f>X75/U75/104.2*10000</f>
        <v>98.7523992322457</v>
      </c>
      <c r="Y76" s="19">
        <f>X76</f>
        <v>98.7523992322457</v>
      </c>
    </row>
    <row r="77" spans="3:25" ht="18.75">
      <c r="C77" s="3" t="s">
        <v>8</v>
      </c>
      <c r="D77" s="2" t="s">
        <v>6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3:25" ht="37.5">
      <c r="C78" s="3" t="s">
        <v>9</v>
      </c>
      <c r="D78" s="2" t="s">
        <v>27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3:25" ht="37.5">
      <c r="C79" s="1" t="s">
        <v>11</v>
      </c>
      <c r="D79" s="2"/>
      <c r="E79" s="20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3:25" ht="18.75">
      <c r="C80" s="3" t="s">
        <v>12</v>
      </c>
      <c r="D80" s="2" t="s">
        <v>13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3:25" ht="18.75">
      <c r="C81" s="3" t="s">
        <v>14</v>
      </c>
      <c r="D81" s="2" t="s">
        <v>13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3:25" ht="18.75">
      <c r="C82" s="3" t="s">
        <v>15</v>
      </c>
      <c r="D82" s="2" t="s">
        <v>13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3:25" ht="18.75">
      <c r="C83" s="3" t="s">
        <v>16</v>
      </c>
      <c r="D83" s="2" t="s">
        <v>13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3:25" ht="18.75">
      <c r="C84" s="3" t="s">
        <v>17</v>
      </c>
      <c r="D84" s="2" t="s">
        <v>13</v>
      </c>
      <c r="E84" s="20">
        <v>1.95</v>
      </c>
      <c r="F84" s="19">
        <v>1.4</v>
      </c>
      <c r="G84" s="19">
        <f>F84*101.1%</f>
        <v>1.4153999999999998</v>
      </c>
      <c r="H84" s="19">
        <f>G84*101%</f>
        <v>1.4295539999999998</v>
      </c>
      <c r="I84" s="19">
        <f>G84*101.3%</f>
        <v>1.4338001999999996</v>
      </c>
      <c r="J84" s="19">
        <f>I84</f>
        <v>1.4338001999999996</v>
      </c>
      <c r="K84" s="19">
        <f>H84*101%</f>
        <v>1.4438495399999998</v>
      </c>
      <c r="L84" s="19">
        <f>I84*101.6%</f>
        <v>1.4567410031999997</v>
      </c>
      <c r="M84" s="19">
        <f>L84</f>
        <v>1.4567410031999997</v>
      </c>
      <c r="N84" s="19">
        <f>K84*101%</f>
        <v>1.4582880353999998</v>
      </c>
      <c r="O84" s="19">
        <f>L84*101.9%</f>
        <v>1.4844190822607999</v>
      </c>
      <c r="P84" s="19">
        <f>O84</f>
        <v>1.4844190822607999</v>
      </c>
      <c r="Q84" s="19">
        <f>N84*101%</f>
        <v>1.4728709157539999</v>
      </c>
      <c r="R84" s="19">
        <f>O84*102.2%</f>
        <v>1.5170763020705376</v>
      </c>
      <c r="S84" s="19">
        <f>R84</f>
        <v>1.5170763020705376</v>
      </c>
      <c r="T84" s="19">
        <f>Q84*101%</f>
        <v>1.48759962491154</v>
      </c>
      <c r="U84" s="19">
        <f>R84*102.5%</f>
        <v>1.5550032096223008</v>
      </c>
      <c r="V84" s="19">
        <f>U84</f>
        <v>1.5550032096223008</v>
      </c>
      <c r="W84" s="19">
        <f>T84*101%</f>
        <v>1.5024756211606554</v>
      </c>
      <c r="X84" s="19">
        <f>U84*102.9%</f>
        <v>1.6000983027013478</v>
      </c>
      <c r="Y84" s="19">
        <f>X84</f>
        <v>1.6000983027013478</v>
      </c>
    </row>
    <row r="85" spans="3:25" ht="18.75">
      <c r="C85" s="3" t="s">
        <v>18</v>
      </c>
      <c r="D85" s="2" t="s">
        <v>13</v>
      </c>
      <c r="E85" s="20">
        <v>0.81</v>
      </c>
      <c r="F85" s="19">
        <v>0.66</v>
      </c>
      <c r="G85" s="19">
        <f>F85*101.1%</f>
        <v>0.66726</v>
      </c>
      <c r="H85" s="19">
        <f>G85*101%</f>
        <v>0.6739326</v>
      </c>
      <c r="I85" s="19">
        <f>G85*101.3%</f>
        <v>0.67593438</v>
      </c>
      <c r="J85" s="19">
        <f>I85</f>
        <v>0.67593438</v>
      </c>
      <c r="K85" s="19">
        <f>H85*101%</f>
        <v>0.680671926</v>
      </c>
      <c r="L85" s="19">
        <f>I85*101.6%</f>
        <v>0.6867493300799999</v>
      </c>
      <c r="M85" s="19">
        <f>L85</f>
        <v>0.6867493300799999</v>
      </c>
      <c r="N85" s="19">
        <f>K85*101%</f>
        <v>0.68747864526</v>
      </c>
      <c r="O85" s="19">
        <f>L85*101.9%</f>
        <v>0.69979756735152</v>
      </c>
      <c r="P85" s="19">
        <f>O85</f>
        <v>0.69979756735152</v>
      </c>
      <c r="Q85" s="19">
        <f>N85*101%</f>
        <v>0.6943534317126</v>
      </c>
      <c r="R85" s="19">
        <f>O85*102.2%</f>
        <v>0.7151931138332535</v>
      </c>
      <c r="S85" s="19">
        <f>R85</f>
        <v>0.7151931138332535</v>
      </c>
      <c r="T85" s="19">
        <f>Q85*101%</f>
        <v>0.701296966029726</v>
      </c>
      <c r="U85" s="19">
        <f>R85*102.5%</f>
        <v>0.7330729416790848</v>
      </c>
      <c r="V85" s="19">
        <f>U85</f>
        <v>0.7330729416790848</v>
      </c>
      <c r="W85" s="19">
        <f>T85*101%</f>
        <v>0.7083099356900233</v>
      </c>
      <c r="X85" s="19">
        <f>U85*102.9%</f>
        <v>0.7543320569877783</v>
      </c>
      <c r="Y85" s="19">
        <f>X85</f>
        <v>0.7543320569877783</v>
      </c>
    </row>
    <row r="86" spans="3:25" ht="18.75">
      <c r="C86" s="3" t="s">
        <v>19</v>
      </c>
      <c r="D86" s="2" t="s">
        <v>13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3:25" ht="18.75">
      <c r="C87" s="3" t="s">
        <v>20</v>
      </c>
      <c r="D87" s="2" t="s">
        <v>13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3:25" ht="18.75">
      <c r="C88" s="3" t="s">
        <v>21</v>
      </c>
      <c r="D88" s="2" t="s">
        <v>22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3:25" ht="18.75">
      <c r="C89" s="1" t="s">
        <v>23</v>
      </c>
      <c r="D89" s="2"/>
      <c r="E89" s="20"/>
      <c r="F89" s="31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3:25" ht="56.25">
      <c r="C90" s="3" t="s">
        <v>24</v>
      </c>
      <c r="D90" s="9" t="s">
        <v>25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3:25" ht="37.5">
      <c r="C91" s="3" t="s">
        <v>26</v>
      </c>
      <c r="D91" s="2" t="s">
        <v>27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3:25" ht="18.75">
      <c r="C92" s="4" t="s">
        <v>28</v>
      </c>
      <c r="D92" s="9" t="s">
        <v>29</v>
      </c>
      <c r="E92" s="21">
        <v>40.06</v>
      </c>
      <c r="F92" s="19">
        <v>41.78</v>
      </c>
      <c r="G92" s="19">
        <f>F92*104.3%</f>
        <v>43.57654</v>
      </c>
      <c r="H92" s="19">
        <f>G92*101%</f>
        <v>44.0123054</v>
      </c>
      <c r="I92" s="19">
        <f>G92*104.7%</f>
        <v>45.624637379999996</v>
      </c>
      <c r="J92" s="19">
        <f>I92</f>
        <v>45.624637379999996</v>
      </c>
      <c r="K92" s="19">
        <f>H92*103%</f>
        <v>45.332674562</v>
      </c>
      <c r="L92" s="19">
        <f>I92*104.6%</f>
        <v>47.72337069948</v>
      </c>
      <c r="M92" s="19">
        <f>L92</f>
        <v>47.72337069948</v>
      </c>
      <c r="N92" s="19">
        <f>K92*103%</f>
        <v>46.692654798860005</v>
      </c>
      <c r="O92" s="19">
        <f>L92*104.5%</f>
        <v>49.8709223809566</v>
      </c>
      <c r="P92" s="19">
        <f>O92</f>
        <v>49.8709223809566</v>
      </c>
      <c r="Q92" s="19">
        <f>N92*103%</f>
        <v>48.0934344428258</v>
      </c>
      <c r="R92" s="19">
        <f>O92*104.3%</f>
        <v>52.01537204333773</v>
      </c>
      <c r="S92" s="19">
        <f>R92</f>
        <v>52.01537204333773</v>
      </c>
      <c r="T92" s="19">
        <f>Q92*103%</f>
        <v>49.53623747611058</v>
      </c>
      <c r="U92" s="19">
        <f>R92*104.2%</f>
        <v>54.200017669157916</v>
      </c>
      <c r="V92" s="19">
        <f>U92</f>
        <v>54.200017669157916</v>
      </c>
      <c r="W92" s="19">
        <f>T92*103%</f>
        <v>51.022324600393894</v>
      </c>
      <c r="X92" s="19">
        <f>U92*104.1%</f>
        <v>56.42221839359338</v>
      </c>
      <c r="Y92" s="19">
        <f>X92</f>
        <v>56.42221839359338</v>
      </c>
    </row>
    <row r="93" spans="3:25" ht="18.75">
      <c r="C93" s="1" t="s">
        <v>31</v>
      </c>
      <c r="D93" s="2"/>
      <c r="E93" s="20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3:25" ht="37.5">
      <c r="C94" s="4" t="s">
        <v>32</v>
      </c>
      <c r="D94" s="7" t="s">
        <v>25</v>
      </c>
      <c r="E94" s="32">
        <v>7818.4</v>
      </c>
      <c r="F94" s="19">
        <v>8097.9</v>
      </c>
      <c r="G94" s="19">
        <f>F94*102.1%</f>
        <v>8267.955899999999</v>
      </c>
      <c r="H94" s="19">
        <f>G94*102%</f>
        <v>8433.315018</v>
      </c>
      <c r="I94" s="19">
        <f>G94*104%</f>
        <v>8598.674136</v>
      </c>
      <c r="J94" s="19">
        <f>G94*105%</f>
        <v>8681.353695</v>
      </c>
      <c r="K94" s="19">
        <f>H94*102%</f>
        <v>8601.98131836</v>
      </c>
      <c r="L94" s="19">
        <f>I94*103.3%</f>
        <v>8882.430382487999</v>
      </c>
      <c r="M94" s="19">
        <f>J94*104%</f>
        <v>9028.6078428</v>
      </c>
      <c r="N94" s="19">
        <f>K94*102%</f>
        <v>8774.020944727201</v>
      </c>
      <c r="O94" s="19">
        <f>L94*103.9%</f>
        <v>9228.845167405032</v>
      </c>
      <c r="P94" s="19">
        <f>M94*104%</f>
        <v>9389.752156512</v>
      </c>
      <c r="Q94" s="19">
        <f>N94*102%</f>
        <v>8949.501363621745</v>
      </c>
      <c r="R94" s="19">
        <f>O94*103.8%</f>
        <v>9579.541283766424</v>
      </c>
      <c r="S94" s="19">
        <f>P94*104%</f>
        <v>9765.342242772482</v>
      </c>
      <c r="T94" s="19">
        <f>Q94*102%</f>
        <v>9128.49139089418</v>
      </c>
      <c r="U94" s="19">
        <f>R94*103.9%</f>
        <v>9953.143393833316</v>
      </c>
      <c r="V94" s="19">
        <f>S94*104%</f>
        <v>10155.95593248338</v>
      </c>
      <c r="W94" s="19">
        <f>T94*102%</f>
        <v>9311.061218712064</v>
      </c>
      <c r="X94" s="19">
        <f>U94*103.9%</f>
        <v>10341.315986192816</v>
      </c>
      <c r="Y94" s="19">
        <f>V94*104%</f>
        <v>10562.194169782717</v>
      </c>
    </row>
    <row r="95" spans="3:25" ht="37.5">
      <c r="C95" s="4" t="s">
        <v>32</v>
      </c>
      <c r="D95" s="7" t="s">
        <v>27</v>
      </c>
      <c r="E95" s="32">
        <v>92.6</v>
      </c>
      <c r="F95" s="19">
        <f>F94/E94/103.5*10000</f>
        <v>100.07236737714227</v>
      </c>
      <c r="G95" s="19">
        <f>G94/F94/102.2*10000</f>
        <v>99.90215264187866</v>
      </c>
      <c r="H95" s="19">
        <f>H94/F94/104.2*10000</f>
        <v>99.9443378119002</v>
      </c>
      <c r="I95" s="19">
        <f>I94/G94/104.2*10000</f>
        <v>99.8080614203455</v>
      </c>
      <c r="J95" s="19">
        <f>J94/H94/104.2*10000</f>
        <v>98.79191599864515</v>
      </c>
      <c r="K95" s="19">
        <f>K94/H94/103.5*10000</f>
        <v>98.55072463768116</v>
      </c>
      <c r="L95" s="19">
        <f>L94/I94/103.5*10000</f>
        <v>99.80676328502415</v>
      </c>
      <c r="M95" s="19">
        <f>M94/J94/103.5*10000</f>
        <v>100.48309178743962</v>
      </c>
      <c r="N95" s="19">
        <f>N94/K94/104*10000</f>
        <v>98.07692307692307</v>
      </c>
      <c r="O95" s="19">
        <f>O94/L94/104*10000</f>
        <v>99.90384615384616</v>
      </c>
      <c r="P95" s="19">
        <f>P94/M94/104*10000</f>
        <v>100</v>
      </c>
      <c r="Q95" s="19">
        <f>Q94/N94/103.9*10000</f>
        <v>98.17131857555341</v>
      </c>
      <c r="R95" s="19">
        <f>R94/O94/103.9*10000</f>
        <v>99.90375360923966</v>
      </c>
      <c r="S95" s="19">
        <f>S94/P94/103.9*10000</f>
        <v>100.09624639076036</v>
      </c>
      <c r="T95" s="19">
        <f aca="true" t="shared" si="4" ref="T95:Y95">T94/Q94/104*10000</f>
        <v>98.07692307692307</v>
      </c>
      <c r="U95" s="19">
        <f t="shared" si="4"/>
        <v>99.90384615384616</v>
      </c>
      <c r="V95" s="19">
        <f t="shared" si="4"/>
        <v>100</v>
      </c>
      <c r="W95" s="19">
        <f t="shared" si="4"/>
        <v>98.07692307692307</v>
      </c>
      <c r="X95" s="19">
        <f t="shared" si="4"/>
        <v>99.90384615384616</v>
      </c>
      <c r="Y95" s="19">
        <f t="shared" si="4"/>
        <v>100</v>
      </c>
    </row>
    <row r="96" spans="3:25" ht="18.75">
      <c r="C96" s="3" t="s">
        <v>33</v>
      </c>
      <c r="D96" s="2" t="s">
        <v>94</v>
      </c>
      <c r="E96" s="20">
        <v>173.3</v>
      </c>
      <c r="F96" s="19">
        <v>193.3</v>
      </c>
      <c r="G96" s="19">
        <f>F96*100.8%</f>
        <v>194.84640000000002</v>
      </c>
      <c r="H96" s="19">
        <f>G96*102%</f>
        <v>198.74332800000002</v>
      </c>
      <c r="I96" s="19">
        <f>G96*103.1%</f>
        <v>200.8866384</v>
      </c>
      <c r="J96" s="19">
        <f>G96*104%</f>
        <v>202.64025600000002</v>
      </c>
      <c r="K96" s="19">
        <f>H96*102%</f>
        <v>202.71819456000003</v>
      </c>
      <c r="L96" s="19">
        <f>I96*103.1%</f>
        <v>207.1141241904</v>
      </c>
      <c r="M96" s="19">
        <f>J96*104%</f>
        <v>210.74586624000003</v>
      </c>
      <c r="N96" s="19">
        <f>K96*102%</f>
        <v>206.77255845120004</v>
      </c>
      <c r="O96" s="19">
        <f>L96*103.7%</f>
        <v>214.77734678544476</v>
      </c>
      <c r="P96" s="19">
        <f>M96*104%</f>
        <v>219.17570088960002</v>
      </c>
      <c r="Q96" s="19">
        <f>N96*102%</f>
        <v>210.90800962022405</v>
      </c>
      <c r="R96" s="19">
        <f>O96*103.5%</f>
        <v>222.2945539229353</v>
      </c>
      <c r="S96" s="19">
        <f>P96*104%</f>
        <v>227.94272892518404</v>
      </c>
      <c r="T96" s="19">
        <f>Q96*102%</f>
        <v>215.12616981262855</v>
      </c>
      <c r="U96" s="19">
        <f>R96*103.5%</f>
        <v>230.07486331023802</v>
      </c>
      <c r="V96" s="19">
        <f>S96*104%</f>
        <v>237.0604380821914</v>
      </c>
      <c r="W96" s="19">
        <f>T96*102%</f>
        <v>219.42869320888113</v>
      </c>
      <c r="X96" s="19">
        <f>U96*103.5%</f>
        <v>238.12748352609634</v>
      </c>
      <c r="Y96" s="19">
        <f>V96*104%</f>
        <v>246.54285560547908</v>
      </c>
    </row>
    <row r="97" spans="3:25" ht="37.5">
      <c r="C97" s="3" t="s">
        <v>33</v>
      </c>
      <c r="D97" s="2" t="s">
        <v>27</v>
      </c>
      <c r="E97" s="20">
        <v>102.3</v>
      </c>
      <c r="F97" s="19">
        <f>F96/E96/104*10000</f>
        <v>107.25065471170491</v>
      </c>
      <c r="G97" s="19">
        <f>G96/F96/102.2*10000</f>
        <v>98.63013698630137</v>
      </c>
      <c r="H97" s="19">
        <f>H96/F96/104.2*10000</f>
        <v>98.67178502879078</v>
      </c>
      <c r="I97" s="19">
        <f>I96/G96/104.2*10000</f>
        <v>98.94433781190018</v>
      </c>
      <c r="J97" s="19">
        <f>J96/H96/104.2*10000</f>
        <v>97.85104060818185</v>
      </c>
      <c r="K97" s="19">
        <f>K96/H96/103.5*10000</f>
        <v>98.55072463768116</v>
      </c>
      <c r="L97" s="19">
        <f>L96/I96/103.5*10000</f>
        <v>99.61352657004831</v>
      </c>
      <c r="M97" s="19">
        <f>M96/J96/103.5*10000</f>
        <v>100.48309178743962</v>
      </c>
      <c r="N97" s="19">
        <f>N96/K96/104*10000</f>
        <v>98.07692307692307</v>
      </c>
      <c r="O97" s="19">
        <f>O96/L96/104*10000</f>
        <v>99.71153846153845</v>
      </c>
      <c r="P97" s="19">
        <f>P96/M96/104*10000</f>
        <v>100</v>
      </c>
      <c r="Q97" s="19">
        <f>Q96/N96/103.9*10000</f>
        <v>98.17131857555341</v>
      </c>
      <c r="R97" s="19">
        <f>R96/O96/103.9*10000</f>
        <v>99.6150144369586</v>
      </c>
      <c r="S97" s="19">
        <f>S96/P96/103.9*10000</f>
        <v>100.09624639076036</v>
      </c>
      <c r="T97" s="19">
        <f aca="true" t="shared" si="5" ref="T97:Y97">T96/Q96/104*10000</f>
        <v>98.07692307692307</v>
      </c>
      <c r="U97" s="19">
        <f t="shared" si="5"/>
        <v>99.51923076923077</v>
      </c>
      <c r="V97" s="19">
        <f t="shared" si="5"/>
        <v>100</v>
      </c>
      <c r="W97" s="19">
        <f t="shared" si="5"/>
        <v>98.07692307692307</v>
      </c>
      <c r="X97" s="19">
        <f t="shared" si="5"/>
        <v>99.51923076923077</v>
      </c>
      <c r="Y97" s="19">
        <f t="shared" si="5"/>
        <v>100</v>
      </c>
    </row>
    <row r="98" spans="3:25" ht="18.75">
      <c r="C98" s="33" t="s">
        <v>34</v>
      </c>
      <c r="D98" s="9"/>
      <c r="E98" s="21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3:25" ht="18.75">
      <c r="C99" s="4" t="s">
        <v>35</v>
      </c>
      <c r="D99" s="7" t="s">
        <v>2</v>
      </c>
      <c r="E99" s="32">
        <v>16940</v>
      </c>
      <c r="F99" s="34">
        <f>E99*104.2%</f>
        <v>17651.48</v>
      </c>
      <c r="G99" s="34">
        <f>F99*103.8%</f>
        <v>18322.23624</v>
      </c>
      <c r="H99" s="34">
        <f>G99*103%</f>
        <v>18871.903327199998</v>
      </c>
      <c r="I99" s="34">
        <f>G99*104.9%</f>
        <v>19220.02581576</v>
      </c>
      <c r="J99" s="34">
        <f>G99*105%</f>
        <v>19238.348051999998</v>
      </c>
      <c r="K99" s="34">
        <f>H99*103%</f>
        <v>19438.060427015997</v>
      </c>
      <c r="L99" s="34">
        <f>I99*104.3%</f>
        <v>20046.48692583768</v>
      </c>
      <c r="M99" s="34">
        <f>J99*105%</f>
        <v>20200.265454599998</v>
      </c>
      <c r="N99" s="34">
        <f>K99*103%</f>
        <v>20021.202239826478</v>
      </c>
      <c r="O99" s="34">
        <f>L99*104.4%</f>
        <v>20928.532350574536</v>
      </c>
      <c r="P99" s="34">
        <f>M99*105%</f>
        <v>21210.27872733</v>
      </c>
      <c r="Q99" s="34">
        <f>N99*103%</f>
        <v>20621.838307021273</v>
      </c>
      <c r="R99" s="34">
        <f>O99*104.4%</f>
        <v>21849.387773999817</v>
      </c>
      <c r="S99" s="34">
        <f>P99*105%</f>
        <v>22270.7926636965</v>
      </c>
      <c r="T99" s="34">
        <f>Q99*103%</f>
        <v>21240.49345623191</v>
      </c>
      <c r="U99" s="34">
        <f>R99*104.3%</f>
        <v>22788.911448281808</v>
      </c>
      <c r="V99" s="34">
        <f>S99*105%</f>
        <v>23384.332296881323</v>
      </c>
      <c r="W99" s="34">
        <f>T99*103%</f>
        <v>21877.70825991887</v>
      </c>
      <c r="X99" s="34">
        <f>U99*104.3%</f>
        <v>23768.834640557925</v>
      </c>
      <c r="Y99" s="34">
        <f>V99*105%</f>
        <v>24553.54891172539</v>
      </c>
    </row>
    <row r="100" spans="3:25" ht="37.5">
      <c r="C100" s="4" t="s">
        <v>35</v>
      </c>
      <c r="D100" s="2" t="s">
        <v>27</v>
      </c>
      <c r="E100" s="20">
        <v>99</v>
      </c>
      <c r="F100" s="19">
        <f>F99/E99/105.3*10000</f>
        <v>98.9553656220323</v>
      </c>
      <c r="G100" s="19">
        <f>G99/F99/104*10000</f>
        <v>99.8076923076923</v>
      </c>
      <c r="H100" s="19">
        <f>H99/F99/104.8*10000</f>
        <v>102.01717557251908</v>
      </c>
      <c r="I100" s="19">
        <f>I99/G99/104.8*10000</f>
        <v>100.09541984732827</v>
      </c>
      <c r="J100" s="19">
        <f>J99/H99/104.8*10000</f>
        <v>97.27265989772475</v>
      </c>
      <c r="K100" s="19">
        <f>K99/H99/104.2*10000</f>
        <v>98.84836852207293</v>
      </c>
      <c r="L100" s="19">
        <f>L99/I99/104.2*10000</f>
        <v>100.09596928982725</v>
      </c>
      <c r="M100" s="19">
        <f>M99/J99/104.2*10000</f>
        <v>100.76775431861805</v>
      </c>
      <c r="N100" s="19">
        <f aca="true" t="shared" si="6" ref="N100:S100">N99/K99/104.3*10000</f>
        <v>98.7535953978907</v>
      </c>
      <c r="O100" s="19">
        <f t="shared" si="6"/>
        <v>100.09587727708535</v>
      </c>
      <c r="P100" s="19">
        <f t="shared" si="6"/>
        <v>100.67114093959732</v>
      </c>
      <c r="Q100" s="19">
        <f t="shared" si="6"/>
        <v>98.7535953978907</v>
      </c>
      <c r="R100" s="19">
        <f t="shared" si="6"/>
        <v>100.09587727708535</v>
      </c>
      <c r="S100" s="19">
        <f t="shared" si="6"/>
        <v>100.67114093959732</v>
      </c>
      <c r="T100" s="19">
        <f>T99/Q99/104.2*10000</f>
        <v>98.84836852207293</v>
      </c>
      <c r="U100" s="19">
        <f>U99/R99/104.2*10000</f>
        <v>100.09596928982725</v>
      </c>
      <c r="V100" s="19">
        <f>V99/S99/104.2*10000</f>
        <v>100.76775431861805</v>
      </c>
      <c r="W100" s="19">
        <f>W99/T99/104.1*10000</f>
        <v>98.9433237271854</v>
      </c>
      <c r="X100" s="19">
        <f>X99/U99/104.1*10000</f>
        <v>100.19212295869356</v>
      </c>
      <c r="Y100" s="19">
        <f>Y99/V99/104.1*10000</f>
        <v>100.86455331412105</v>
      </c>
    </row>
    <row r="101" spans="3:25" ht="37.5">
      <c r="C101" s="1" t="s">
        <v>97</v>
      </c>
      <c r="D101" s="2"/>
      <c r="E101" s="20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ht="37.5">
      <c r="C102" s="3" t="s">
        <v>173</v>
      </c>
      <c r="D102" s="2" t="s">
        <v>36</v>
      </c>
      <c r="E102" s="20">
        <v>1182</v>
      </c>
      <c r="F102" s="19">
        <v>1239</v>
      </c>
      <c r="G102" s="19">
        <f>1276+16</f>
        <v>1292</v>
      </c>
      <c r="H102" s="19">
        <f>G102*104.3%</f>
        <v>1347.5559999999998</v>
      </c>
      <c r="I102" s="19">
        <f>G102*104.5%</f>
        <v>1350.1399999999999</v>
      </c>
      <c r="J102" s="19">
        <f>G102*104.8%</f>
        <v>1354.016</v>
      </c>
      <c r="K102" s="19">
        <f>H102*104.3%</f>
        <v>1405.5009079999998</v>
      </c>
      <c r="L102" s="19">
        <f>I102*104.5%</f>
        <v>1410.8962999999999</v>
      </c>
      <c r="M102" s="19">
        <f>J102*104.8%</f>
        <v>1419.0087680000001</v>
      </c>
      <c r="N102" s="19">
        <f>K102*104.3%</f>
        <v>1465.9374470439996</v>
      </c>
      <c r="O102" s="19">
        <f>L102*104.5%</f>
        <v>1474.3866334999998</v>
      </c>
      <c r="P102" s="19">
        <f>M102*104.8%</f>
        <v>1487.1211888640003</v>
      </c>
      <c r="Q102" s="19">
        <f>N102*104.3%</f>
        <v>1528.9727572668914</v>
      </c>
      <c r="R102" s="19">
        <f>O102*104.5%</f>
        <v>1540.7340320074998</v>
      </c>
      <c r="S102" s="19">
        <f>P102*104.8%</f>
        <v>1558.5030059294722</v>
      </c>
      <c r="T102" s="19">
        <f>Q102*104.3%</f>
        <v>1594.7185858293676</v>
      </c>
      <c r="U102" s="19">
        <f>R102*104.5%</f>
        <v>1610.0670634478372</v>
      </c>
      <c r="V102" s="19">
        <f>S102*104.8%</f>
        <v>1633.3111502140869</v>
      </c>
      <c r="W102" s="19">
        <f>T102*104.3%</f>
        <v>1663.2914850200302</v>
      </c>
      <c r="X102" s="19">
        <f>U102*104.5%</f>
        <v>1682.5200813029899</v>
      </c>
      <c r="Y102" s="19">
        <f>V102*104.8%</f>
        <v>1711.7100854243631</v>
      </c>
    </row>
    <row r="103" spans="3:25" ht="56.25">
      <c r="C103" s="3" t="s">
        <v>99</v>
      </c>
      <c r="D103" s="9" t="s">
        <v>37</v>
      </c>
      <c r="E103" s="20">
        <v>4.2</v>
      </c>
      <c r="F103" s="19">
        <v>4.5</v>
      </c>
      <c r="G103" s="19">
        <v>4.8</v>
      </c>
      <c r="H103" s="19">
        <f>G103*104.3%</f>
        <v>5.006399999999999</v>
      </c>
      <c r="I103" s="19">
        <f>G103*104.5%</f>
        <v>5.015999999999999</v>
      </c>
      <c r="J103" s="19">
        <f>G103*104.8%</f>
        <v>5.0304</v>
      </c>
      <c r="K103" s="19">
        <f>H103*104.3%</f>
        <v>5.221675199999999</v>
      </c>
      <c r="L103" s="19">
        <f>I103*104.5%</f>
        <v>5.241719999999999</v>
      </c>
      <c r="M103" s="19">
        <f>J103*104.8%</f>
        <v>5.271859200000001</v>
      </c>
      <c r="N103" s="19">
        <f>K103*104.3%</f>
        <v>5.446207233599998</v>
      </c>
      <c r="O103" s="19">
        <f>L103*104.5%</f>
        <v>5.477597399999999</v>
      </c>
      <c r="P103" s="19">
        <f>M103*104.8%</f>
        <v>5.524908441600001</v>
      </c>
      <c r="Q103" s="19">
        <f>N103*104.3%</f>
        <v>5.680394144644798</v>
      </c>
      <c r="R103" s="19">
        <f>O103*104.5%</f>
        <v>5.724089282999998</v>
      </c>
      <c r="S103" s="19">
        <f>P103*104.8%</f>
        <v>5.7901040467968015</v>
      </c>
      <c r="T103" s="19">
        <f>Q103*104.3%</f>
        <v>5.924651092864524</v>
      </c>
      <c r="U103" s="19">
        <f>R103*104.5%</f>
        <v>5.981673300734998</v>
      </c>
      <c r="V103" s="19">
        <f>S103*104.8%</f>
        <v>6.068029041043048</v>
      </c>
      <c r="W103" s="19">
        <f>T103*104.3%</f>
        <v>6.179411089857698</v>
      </c>
      <c r="X103" s="19">
        <f>U103*104.5%</f>
        <v>6.250848599268072</v>
      </c>
      <c r="Y103" s="19">
        <f>V103*104.8%</f>
        <v>6.359294435013115</v>
      </c>
    </row>
    <row r="104" spans="3:25" ht="37.5">
      <c r="C104" s="3" t="s">
        <v>98</v>
      </c>
      <c r="D104" s="2" t="s">
        <v>38</v>
      </c>
      <c r="E104" s="21">
        <v>12.91</v>
      </c>
      <c r="F104" s="19">
        <f>E104*103.7%</f>
        <v>13.38767</v>
      </c>
      <c r="G104" s="19">
        <f>F104*102.6%</f>
        <v>13.73574942</v>
      </c>
      <c r="H104" s="19">
        <f>G104*103%</f>
        <v>14.1478219026</v>
      </c>
      <c r="I104" s="19">
        <f>G104*104.2%</f>
        <v>14.31265089564</v>
      </c>
      <c r="J104" s="19">
        <f>G104*105%</f>
        <v>14.422536891</v>
      </c>
      <c r="K104" s="19">
        <f>H104*103%</f>
        <v>14.572256559678001</v>
      </c>
      <c r="L104" s="19">
        <f>I104*103.6%</f>
        <v>14.82790632788304</v>
      </c>
      <c r="M104" s="19">
        <f>K104*105%</f>
        <v>15.300869387661901</v>
      </c>
      <c r="N104" s="19">
        <f>K104*103%</f>
        <v>15.00942425646834</v>
      </c>
      <c r="O104" s="19">
        <f>L104*104%</f>
        <v>15.421022580998363</v>
      </c>
      <c r="P104" s="19">
        <f>M104*105%</f>
        <v>16.065912857044996</v>
      </c>
      <c r="Q104" s="19">
        <f>N104*103%</f>
        <v>15.459706984162391</v>
      </c>
      <c r="R104" s="19">
        <f>O104*104%</f>
        <v>16.037863484238297</v>
      </c>
      <c r="S104" s="19">
        <f>P104*105%</f>
        <v>16.869208499897248</v>
      </c>
      <c r="T104" s="19">
        <f>Q104*103%</f>
        <v>15.923498193687264</v>
      </c>
      <c r="U104" s="19">
        <f>R104*104%</f>
        <v>16.67937802360783</v>
      </c>
      <c r="V104" s="19">
        <f>S104*105%</f>
        <v>17.71266892489211</v>
      </c>
      <c r="W104" s="19">
        <f>T104*103%</f>
        <v>16.40120313949788</v>
      </c>
      <c r="X104" s="19">
        <f>U104*104%</f>
        <v>17.346553144552143</v>
      </c>
      <c r="Y104" s="19">
        <f>V104*105%</f>
        <v>18.598302371136718</v>
      </c>
    </row>
    <row r="105" spans="3:25" ht="18.75">
      <c r="C105" s="1" t="s">
        <v>39</v>
      </c>
      <c r="D105" s="2"/>
      <c r="E105" s="3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ht="39.75" customHeight="1">
      <c r="C106" s="4" t="s">
        <v>40</v>
      </c>
      <c r="D106" s="2" t="s">
        <v>25</v>
      </c>
      <c r="E106" s="32">
        <v>3731.15</v>
      </c>
      <c r="F106" s="19">
        <v>6285</v>
      </c>
      <c r="G106" s="19">
        <f>F106*103.5%</f>
        <v>6504.974999999999</v>
      </c>
      <c r="H106" s="19">
        <f>G106*101%</f>
        <v>6570.02475</v>
      </c>
      <c r="I106" s="19">
        <f>G106*103.1%</f>
        <v>6706.629224999999</v>
      </c>
      <c r="J106" s="19">
        <f>I106</f>
        <v>6706.629224999999</v>
      </c>
      <c r="K106" s="19">
        <f>H106*103%</f>
        <v>6767.125492499999</v>
      </c>
      <c r="L106" s="19">
        <f>I106*107.6%</f>
        <v>7216.333046099998</v>
      </c>
      <c r="M106" s="19">
        <f>L106</f>
        <v>7216.333046099998</v>
      </c>
      <c r="N106" s="19">
        <f>K106*103%</f>
        <v>6970.139257274999</v>
      </c>
      <c r="O106" s="19">
        <f>L106*106.9%</f>
        <v>7714.260026280897</v>
      </c>
      <c r="P106" s="19">
        <f>O106</f>
        <v>7714.260026280897</v>
      </c>
      <c r="Q106" s="19">
        <f>N106*103%</f>
        <v>7179.243434993249</v>
      </c>
      <c r="R106" s="19">
        <f>O106*106.4%</f>
        <v>8207.972667962875</v>
      </c>
      <c r="S106" s="19">
        <f>R106</f>
        <v>8207.972667962875</v>
      </c>
      <c r="T106" s="19">
        <f>Q106*103%</f>
        <v>7394.620738043047</v>
      </c>
      <c r="U106" s="19">
        <f>R106*106.4%</f>
        <v>8733.282918712499</v>
      </c>
      <c r="V106" s="19">
        <f>U106</f>
        <v>8733.282918712499</v>
      </c>
      <c r="W106" s="19">
        <f>T106*103%</f>
        <v>7616.459360184339</v>
      </c>
      <c r="X106" s="19">
        <f>U106*106.1%</f>
        <v>9266.01317675396</v>
      </c>
      <c r="Y106" s="19">
        <f>X106</f>
        <v>9266.01317675396</v>
      </c>
    </row>
    <row r="107" spans="3:25" ht="39.75" customHeight="1">
      <c r="C107" s="4" t="s">
        <v>41</v>
      </c>
      <c r="D107" s="2" t="s">
        <v>27</v>
      </c>
      <c r="E107" s="32">
        <v>77.76</v>
      </c>
      <c r="F107" s="19">
        <f>F106/E106/103.7*10000</f>
        <v>162.4365723629537</v>
      </c>
      <c r="G107" s="19">
        <f>G106/F106/104.9*10000</f>
        <v>98.6653956148713</v>
      </c>
      <c r="H107" s="19">
        <f>H106/G106/105*10000</f>
        <v>96.19047619047619</v>
      </c>
      <c r="I107" s="19">
        <f>I106/G106/105*10000</f>
        <v>98.19047619047618</v>
      </c>
      <c r="J107" s="19">
        <f>I107</f>
        <v>98.19047619047618</v>
      </c>
      <c r="K107" s="19">
        <f>K106/H106/104.4*10000</f>
        <v>98.65900383141762</v>
      </c>
      <c r="L107" s="19">
        <f>L106/I106/104.4*10000</f>
        <v>103.06513409961684</v>
      </c>
      <c r="M107" s="19">
        <f>L107</f>
        <v>103.06513409961684</v>
      </c>
      <c r="N107" s="19">
        <f>N106/K106/104.2*10000</f>
        <v>98.84836852207293</v>
      </c>
      <c r="O107" s="19">
        <f>O106/L106/104.2*10000</f>
        <v>102.5911708253359</v>
      </c>
      <c r="P107" s="19">
        <f>O107</f>
        <v>102.5911708253359</v>
      </c>
      <c r="Q107" s="19">
        <f>Q106/N106/104.3*10000</f>
        <v>98.7535953978907</v>
      </c>
      <c r="R107" s="19">
        <f>R106/O106/104.3*10000</f>
        <v>102.01342281879195</v>
      </c>
      <c r="S107" s="19">
        <f>R107</f>
        <v>102.01342281879195</v>
      </c>
      <c r="T107" s="19">
        <f>T106/Q106/104.4*10000</f>
        <v>98.65900383141762</v>
      </c>
      <c r="U107" s="19">
        <f>U106/R106/104.4*10000</f>
        <v>101.91570881226055</v>
      </c>
      <c r="V107" s="19">
        <f>U107</f>
        <v>101.91570881226055</v>
      </c>
      <c r="W107" s="19">
        <f>W106/T106/104.4*10000</f>
        <v>98.65900383141762</v>
      </c>
      <c r="X107" s="19">
        <f>X106/U106/104.4*10000</f>
        <v>101.62835249042145</v>
      </c>
      <c r="Y107" s="19">
        <f>X107</f>
        <v>101.62835249042145</v>
      </c>
    </row>
    <row r="108" spans="3:25" ht="100.5" customHeight="1">
      <c r="C108" s="3" t="s">
        <v>42</v>
      </c>
      <c r="D108" s="2" t="s">
        <v>94</v>
      </c>
      <c r="E108" s="20">
        <v>3104.5</v>
      </c>
      <c r="F108" s="19">
        <v>3741.6</v>
      </c>
      <c r="G108" s="19">
        <f>F108*103.5%</f>
        <v>3872.5559999999996</v>
      </c>
      <c r="H108" s="19">
        <f>G108*101%</f>
        <v>3911.2815599999994</v>
      </c>
      <c r="I108" s="19">
        <f>G108*103.1%</f>
        <v>3992.6052359999994</v>
      </c>
      <c r="J108" s="19">
        <f>I108</f>
        <v>3992.6052359999994</v>
      </c>
      <c r="K108" s="19">
        <f>H108*103%</f>
        <v>4028.6200067999994</v>
      </c>
      <c r="L108" s="19">
        <f>I108*107.6%</f>
        <v>4296.043233935999</v>
      </c>
      <c r="M108" s="19">
        <f>L108</f>
        <v>4296.043233935999</v>
      </c>
      <c r="N108" s="19">
        <f>K108*103%</f>
        <v>4149.478607003999</v>
      </c>
      <c r="O108" s="19">
        <f>L108*106.9%</f>
        <v>4592.470217077583</v>
      </c>
      <c r="P108" s="19">
        <f>O108</f>
        <v>4592.470217077583</v>
      </c>
      <c r="Q108" s="19">
        <f>N108*103%</f>
        <v>4273.962965214119</v>
      </c>
      <c r="R108" s="19">
        <f>O108*106.6%</f>
        <v>4895.573251404702</v>
      </c>
      <c r="S108" s="19">
        <f>R108</f>
        <v>4895.573251404702</v>
      </c>
      <c r="T108" s="19">
        <f>Q108*103%</f>
        <v>4402.181854170543</v>
      </c>
      <c r="U108" s="19">
        <f>R108*106.4%</f>
        <v>5208.889939494604</v>
      </c>
      <c r="V108" s="19">
        <f>U108</f>
        <v>5208.889939494604</v>
      </c>
      <c r="W108" s="19">
        <f>T108*103%</f>
        <v>4534.24730979566</v>
      </c>
      <c r="X108" s="19">
        <f>U108*106.1%</f>
        <v>5526.632225803774</v>
      </c>
      <c r="Y108" s="19">
        <f>X108</f>
        <v>5526.632225803774</v>
      </c>
    </row>
    <row r="109" spans="3:25" ht="37.5">
      <c r="C109" s="3" t="s">
        <v>43</v>
      </c>
      <c r="D109" s="2" t="s">
        <v>27</v>
      </c>
      <c r="E109" s="20">
        <v>81.8</v>
      </c>
      <c r="F109" s="19">
        <f>F108/E108/103.7*10000</f>
        <v>116.22162310504257</v>
      </c>
      <c r="G109" s="19">
        <f>G108/F108/104.9*10000</f>
        <v>98.6653956148713</v>
      </c>
      <c r="H109" s="19">
        <f>H108/G108/105*10000</f>
        <v>96.19047619047619</v>
      </c>
      <c r="I109" s="19">
        <f>I108/G108/105*10000</f>
        <v>98.19047619047618</v>
      </c>
      <c r="J109" s="19">
        <f>I109</f>
        <v>98.19047619047618</v>
      </c>
      <c r="K109" s="19">
        <f>K108/H108/104.4*10000</f>
        <v>98.65900383141762</v>
      </c>
      <c r="L109" s="19">
        <f>L108/I108/104.4*10000</f>
        <v>103.06513409961684</v>
      </c>
      <c r="M109" s="19">
        <f>L109</f>
        <v>103.06513409961684</v>
      </c>
      <c r="N109" s="19">
        <f>N108/K108/104.2*10000</f>
        <v>98.84836852207293</v>
      </c>
      <c r="O109" s="19">
        <f>O108/L108/104.2*10000</f>
        <v>102.5911708253359</v>
      </c>
      <c r="P109" s="19">
        <f>O109</f>
        <v>102.5911708253359</v>
      </c>
      <c r="Q109" s="19">
        <f>Q108/N108/104.3*10000</f>
        <v>98.7535953978907</v>
      </c>
      <c r="R109" s="19">
        <f>R108/O108/104.3*10000</f>
        <v>102.2051773729626</v>
      </c>
      <c r="S109" s="19">
        <f>R109</f>
        <v>102.2051773729626</v>
      </c>
      <c r="T109" s="19">
        <f>T108/Q108/104.4*10000</f>
        <v>98.65900383141762</v>
      </c>
      <c r="U109" s="19">
        <f>U108/R108/104.4*10000</f>
        <v>101.91570881226055</v>
      </c>
      <c r="V109" s="19">
        <f>U109</f>
        <v>101.91570881226055</v>
      </c>
      <c r="W109" s="19">
        <f>W108/T108/104.4*10000</f>
        <v>98.65900383141762</v>
      </c>
      <c r="X109" s="19">
        <f>X108/U108/104.4*10000</f>
        <v>101.62835249042145</v>
      </c>
      <c r="Y109" s="19">
        <f>X109</f>
        <v>101.62835249042145</v>
      </c>
    </row>
    <row r="110" spans="3:25" ht="39">
      <c r="C110" s="10" t="s">
        <v>174</v>
      </c>
      <c r="D110" s="2"/>
      <c r="E110" s="20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ht="18.75">
      <c r="C111" s="4" t="s">
        <v>44</v>
      </c>
      <c r="D111" s="2" t="s">
        <v>45</v>
      </c>
      <c r="E111" s="20">
        <v>370.3</v>
      </c>
      <c r="F111" s="19">
        <v>1117.93</v>
      </c>
      <c r="G111" s="19">
        <f>F111*103.5%</f>
        <v>1157.05755</v>
      </c>
      <c r="H111" s="19">
        <f>G111*101%</f>
        <v>1168.6281255</v>
      </c>
      <c r="I111" s="19">
        <f>G111*103.1%</f>
        <v>1192.92633405</v>
      </c>
      <c r="J111" s="19">
        <f>I111</f>
        <v>1192.92633405</v>
      </c>
      <c r="K111" s="19">
        <f>H111*103%</f>
        <v>1203.686969265</v>
      </c>
      <c r="L111" s="19">
        <f>I111*107.6%</f>
        <v>1283.5887354377996</v>
      </c>
      <c r="M111" s="19">
        <f>L111</f>
        <v>1283.5887354377996</v>
      </c>
      <c r="N111" s="19">
        <f>K111*103%</f>
        <v>1239.7975783429501</v>
      </c>
      <c r="O111" s="19">
        <f>L111*106.9%</f>
        <v>1372.1563581830078</v>
      </c>
      <c r="P111" s="19">
        <f>O111</f>
        <v>1372.1563581830078</v>
      </c>
      <c r="Q111" s="19">
        <f>N111*103%</f>
        <v>1276.9915056932387</v>
      </c>
      <c r="R111" s="19">
        <f>O111*106.4%</f>
        <v>1459.9743651067204</v>
      </c>
      <c r="S111" s="19">
        <f>R111</f>
        <v>1459.9743651067204</v>
      </c>
      <c r="T111" s="19">
        <f>Q111*103%</f>
        <v>1315.3012508640359</v>
      </c>
      <c r="U111" s="19">
        <f>R111*106.4%</f>
        <v>1553.4127244735505</v>
      </c>
      <c r="V111" s="19">
        <f>U111</f>
        <v>1553.4127244735505</v>
      </c>
      <c r="W111" s="19">
        <f>T111*103%</f>
        <v>1354.760288389957</v>
      </c>
      <c r="X111" s="19">
        <f>U111*106.1%</f>
        <v>1648.170900666437</v>
      </c>
      <c r="Y111" s="19">
        <f>X111</f>
        <v>1648.170900666437</v>
      </c>
    </row>
    <row r="112" spans="3:25" ht="18.75">
      <c r="C112" s="4" t="s">
        <v>175</v>
      </c>
      <c r="D112" s="2" t="s">
        <v>45</v>
      </c>
      <c r="E112" s="20">
        <v>2667.7</v>
      </c>
      <c r="F112" s="19">
        <v>2623.67</v>
      </c>
      <c r="G112" s="19">
        <f>F112*103.5%</f>
        <v>2715.49845</v>
      </c>
      <c r="H112" s="19">
        <f aca="true" t="shared" si="7" ref="H112:Y112">G112*103.5%</f>
        <v>2810.54089575</v>
      </c>
      <c r="I112" s="19">
        <f t="shared" si="7"/>
        <v>2908.9098271012494</v>
      </c>
      <c r="J112" s="19">
        <f t="shared" si="7"/>
        <v>3010.721671049793</v>
      </c>
      <c r="K112" s="19">
        <f t="shared" si="7"/>
        <v>3116.0969295365353</v>
      </c>
      <c r="L112" s="19">
        <f t="shared" si="7"/>
        <v>3225.1603220703137</v>
      </c>
      <c r="M112" s="19">
        <f t="shared" si="7"/>
        <v>3338.040933342774</v>
      </c>
      <c r="N112" s="19">
        <f t="shared" si="7"/>
        <v>3454.872366009771</v>
      </c>
      <c r="O112" s="19">
        <f t="shared" si="7"/>
        <v>3575.792898820113</v>
      </c>
      <c r="P112" s="19">
        <f t="shared" si="7"/>
        <v>3700.9456502788166</v>
      </c>
      <c r="Q112" s="19">
        <f t="shared" si="7"/>
        <v>3830.478748038575</v>
      </c>
      <c r="R112" s="19">
        <f t="shared" si="7"/>
        <v>3964.5455042199246</v>
      </c>
      <c r="S112" s="19">
        <f t="shared" si="7"/>
        <v>4103.3045968676215</v>
      </c>
      <c r="T112" s="19">
        <f t="shared" si="7"/>
        <v>4246.920257757988</v>
      </c>
      <c r="U112" s="19">
        <f t="shared" si="7"/>
        <v>4395.562466779517</v>
      </c>
      <c r="V112" s="19">
        <f t="shared" si="7"/>
        <v>4549.4071531168</v>
      </c>
      <c r="W112" s="19">
        <f t="shared" si="7"/>
        <v>4708.636403475888</v>
      </c>
      <c r="X112" s="19">
        <f t="shared" si="7"/>
        <v>4873.438677597544</v>
      </c>
      <c r="Y112" s="19">
        <f t="shared" si="7"/>
        <v>5044.009031313457</v>
      </c>
    </row>
    <row r="113" spans="3:25" ht="18.75">
      <c r="C113" s="3" t="s">
        <v>176</v>
      </c>
      <c r="D113" s="2" t="s">
        <v>45</v>
      </c>
      <c r="E113" s="20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3:25" ht="18.75">
      <c r="C114" s="3" t="s">
        <v>181</v>
      </c>
      <c r="D114" s="2" t="s">
        <v>45</v>
      </c>
      <c r="E114" s="32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3:25" ht="18.75">
      <c r="C115" s="3" t="s">
        <v>46</v>
      </c>
      <c r="D115" s="2" t="s">
        <v>45</v>
      </c>
      <c r="E115" s="3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3:25" ht="18.75">
      <c r="C116" s="3" t="s">
        <v>177</v>
      </c>
      <c r="D116" s="2" t="s">
        <v>45</v>
      </c>
      <c r="E116" s="32">
        <v>2667.7</v>
      </c>
      <c r="F116" s="19">
        <v>2571.35</v>
      </c>
      <c r="G116" s="19">
        <f>F116*103.5%</f>
        <v>2661.34725</v>
      </c>
      <c r="H116" s="19">
        <f aca="true" t="shared" si="8" ref="H116:Y116">G116*103.5%</f>
        <v>2754.4944037499995</v>
      </c>
      <c r="I116" s="19">
        <f t="shared" si="8"/>
        <v>2850.9017078812494</v>
      </c>
      <c r="J116" s="19">
        <f t="shared" si="8"/>
        <v>2950.683267657093</v>
      </c>
      <c r="K116" s="19">
        <f t="shared" si="8"/>
        <v>3053.957182025091</v>
      </c>
      <c r="L116" s="19">
        <f t="shared" si="8"/>
        <v>3160.8456833959685</v>
      </c>
      <c r="M116" s="19">
        <f t="shared" si="8"/>
        <v>3271.4752823148274</v>
      </c>
      <c r="N116" s="19">
        <f t="shared" si="8"/>
        <v>3385.976917195846</v>
      </c>
      <c r="O116" s="19">
        <f t="shared" si="8"/>
        <v>3504.4861092977003</v>
      </c>
      <c r="P116" s="19">
        <f t="shared" si="8"/>
        <v>3627.1431231231195</v>
      </c>
      <c r="Q116" s="19">
        <f t="shared" si="8"/>
        <v>3754.0931324324283</v>
      </c>
      <c r="R116" s="19">
        <f t="shared" si="8"/>
        <v>3885.486392067563</v>
      </c>
      <c r="S116" s="19">
        <f t="shared" si="8"/>
        <v>4021.4784157899276</v>
      </c>
      <c r="T116" s="19">
        <f t="shared" si="8"/>
        <v>4162.230160342575</v>
      </c>
      <c r="U116" s="19">
        <f t="shared" si="8"/>
        <v>4307.908215954565</v>
      </c>
      <c r="V116" s="19">
        <f t="shared" si="8"/>
        <v>4458.685003512975</v>
      </c>
      <c r="W116" s="19">
        <f t="shared" si="8"/>
        <v>4614.738978635928</v>
      </c>
      <c r="X116" s="19">
        <f t="shared" si="8"/>
        <v>4776.2548428881855</v>
      </c>
      <c r="Y116" s="19">
        <f t="shared" si="8"/>
        <v>4943.423762389271</v>
      </c>
    </row>
    <row r="117" spans="3:25" ht="18.75">
      <c r="C117" s="4" t="s">
        <v>178</v>
      </c>
      <c r="D117" s="2" t="s">
        <v>45</v>
      </c>
      <c r="E117" s="32">
        <v>2278.5</v>
      </c>
      <c r="F117" s="19">
        <v>2243.16</v>
      </c>
      <c r="G117" s="19">
        <f aca="true" t="shared" si="9" ref="G117:V120">F117*103.5%</f>
        <v>2321.6705999999995</v>
      </c>
      <c r="H117" s="19">
        <f t="shared" si="9"/>
        <v>2402.929070999999</v>
      </c>
      <c r="I117" s="19">
        <f t="shared" si="9"/>
        <v>2487.031588484999</v>
      </c>
      <c r="J117" s="19">
        <f t="shared" si="9"/>
        <v>2574.0776940819737</v>
      </c>
      <c r="K117" s="19">
        <f t="shared" si="9"/>
        <v>2664.1704133748426</v>
      </c>
      <c r="L117" s="19">
        <f t="shared" si="9"/>
        <v>2757.416377842962</v>
      </c>
      <c r="M117" s="19">
        <f t="shared" si="9"/>
        <v>2853.9259510674656</v>
      </c>
      <c r="N117" s="19">
        <f t="shared" si="9"/>
        <v>2953.813359354827</v>
      </c>
      <c r="O117" s="19">
        <f t="shared" si="9"/>
        <v>3057.1968269322456</v>
      </c>
      <c r="P117" s="19">
        <f t="shared" si="9"/>
        <v>3164.198715874874</v>
      </c>
      <c r="Q117" s="19">
        <f t="shared" si="9"/>
        <v>3274.945670930494</v>
      </c>
      <c r="R117" s="19">
        <f t="shared" si="9"/>
        <v>3389.568769413061</v>
      </c>
      <c r="S117" s="19">
        <f t="shared" si="9"/>
        <v>3508.203676342518</v>
      </c>
      <c r="T117" s="19">
        <f t="shared" si="9"/>
        <v>3630.990805014506</v>
      </c>
      <c r="U117" s="19">
        <f t="shared" si="9"/>
        <v>3758.0754831900135</v>
      </c>
      <c r="V117" s="19">
        <f t="shared" si="9"/>
        <v>3889.6081251016635</v>
      </c>
      <c r="W117" s="19">
        <f aca="true" t="shared" si="10" ref="W117:Y120">V117*103.5%</f>
        <v>4025.7444094802213</v>
      </c>
      <c r="X117" s="19">
        <f t="shared" si="10"/>
        <v>4166.6454638120285</v>
      </c>
      <c r="Y117" s="19">
        <f t="shared" si="10"/>
        <v>4312.478055045449</v>
      </c>
    </row>
    <row r="118" spans="3:25" ht="18.75">
      <c r="C118" s="4" t="s">
        <v>179</v>
      </c>
      <c r="D118" s="2" t="s">
        <v>45</v>
      </c>
      <c r="E118" s="32">
        <v>324</v>
      </c>
      <c r="F118" s="19">
        <v>192.11</v>
      </c>
      <c r="G118" s="19">
        <f t="shared" si="9"/>
        <v>198.83385</v>
      </c>
      <c r="H118" s="19">
        <f t="shared" si="9"/>
        <v>205.79303475</v>
      </c>
      <c r="I118" s="19">
        <f t="shared" si="9"/>
        <v>212.99579096624998</v>
      </c>
      <c r="J118" s="19">
        <f t="shared" si="9"/>
        <v>220.4506436500687</v>
      </c>
      <c r="K118" s="19">
        <f t="shared" si="9"/>
        <v>228.1664161778211</v>
      </c>
      <c r="L118" s="19">
        <f t="shared" si="9"/>
        <v>236.15224074404483</v>
      </c>
      <c r="M118" s="19">
        <f t="shared" si="9"/>
        <v>244.41756917008638</v>
      </c>
      <c r="N118" s="19">
        <f t="shared" si="9"/>
        <v>252.9721840910394</v>
      </c>
      <c r="O118" s="19">
        <f t="shared" si="9"/>
        <v>261.82621053422577</v>
      </c>
      <c r="P118" s="19">
        <f t="shared" si="9"/>
        <v>270.99012790292363</v>
      </c>
      <c r="Q118" s="19">
        <f t="shared" si="9"/>
        <v>280.47478237952595</v>
      </c>
      <c r="R118" s="19">
        <f t="shared" si="9"/>
        <v>290.2913997628093</v>
      </c>
      <c r="S118" s="19">
        <f t="shared" si="9"/>
        <v>300.4515987545076</v>
      </c>
      <c r="T118" s="19">
        <f t="shared" si="9"/>
        <v>310.96740471091533</v>
      </c>
      <c r="U118" s="19">
        <f t="shared" si="9"/>
        <v>321.8512638757974</v>
      </c>
      <c r="V118" s="19">
        <f t="shared" si="9"/>
        <v>333.11605811145023</v>
      </c>
      <c r="W118" s="19">
        <f t="shared" si="10"/>
        <v>344.77512014535097</v>
      </c>
      <c r="X118" s="19">
        <f t="shared" si="10"/>
        <v>356.84224935043824</v>
      </c>
      <c r="Y118" s="19">
        <f t="shared" si="10"/>
        <v>369.33172807770353</v>
      </c>
    </row>
    <row r="119" spans="3:25" ht="18.75">
      <c r="C119" s="4" t="s">
        <v>180</v>
      </c>
      <c r="D119" s="2" t="s">
        <v>45</v>
      </c>
      <c r="E119" s="32">
        <v>65.2</v>
      </c>
      <c r="F119" s="19">
        <v>136.08</v>
      </c>
      <c r="G119" s="19">
        <f t="shared" si="9"/>
        <v>140.8428</v>
      </c>
      <c r="H119" s="19">
        <f t="shared" si="9"/>
        <v>145.772298</v>
      </c>
      <c r="I119" s="19">
        <f t="shared" si="9"/>
        <v>150.87432843</v>
      </c>
      <c r="J119" s="19">
        <f t="shared" si="9"/>
        <v>156.15492992504997</v>
      </c>
      <c r="K119" s="19">
        <f t="shared" si="9"/>
        <v>161.6203524724267</v>
      </c>
      <c r="L119" s="19">
        <f t="shared" si="9"/>
        <v>167.27706480896163</v>
      </c>
      <c r="M119" s="19">
        <f t="shared" si="9"/>
        <v>173.13176207727528</v>
      </c>
      <c r="N119" s="19">
        <f t="shared" si="9"/>
        <v>179.1913737499799</v>
      </c>
      <c r="O119" s="19">
        <f t="shared" si="9"/>
        <v>185.46307183122917</v>
      </c>
      <c r="P119" s="19">
        <f t="shared" si="9"/>
        <v>191.9542793453222</v>
      </c>
      <c r="Q119" s="19">
        <f t="shared" si="9"/>
        <v>198.67267912240845</v>
      </c>
      <c r="R119" s="19">
        <f t="shared" si="9"/>
        <v>205.62622289169272</v>
      </c>
      <c r="S119" s="19">
        <f t="shared" si="9"/>
        <v>212.82314069290194</v>
      </c>
      <c r="T119" s="19">
        <f t="shared" si="9"/>
        <v>220.2719506171535</v>
      </c>
      <c r="U119" s="19">
        <f t="shared" si="9"/>
        <v>227.98146888875385</v>
      </c>
      <c r="V119" s="19">
        <f t="shared" si="9"/>
        <v>235.96082029986022</v>
      </c>
      <c r="W119" s="19">
        <f t="shared" si="10"/>
        <v>244.2194490103553</v>
      </c>
      <c r="X119" s="19">
        <f t="shared" si="10"/>
        <v>252.76712972571772</v>
      </c>
      <c r="Y119" s="19">
        <f t="shared" si="10"/>
        <v>261.61397926611784</v>
      </c>
    </row>
    <row r="120" spans="3:25" ht="18.75">
      <c r="C120" s="3" t="s">
        <v>47</v>
      </c>
      <c r="D120" s="2" t="s">
        <v>45</v>
      </c>
      <c r="E120" s="20"/>
      <c r="F120" s="19">
        <v>52.32</v>
      </c>
      <c r="G120" s="19">
        <f t="shared" si="9"/>
        <v>54.151199999999996</v>
      </c>
      <c r="H120" s="19">
        <f t="shared" si="9"/>
        <v>56.04649199999999</v>
      </c>
      <c r="I120" s="19">
        <f t="shared" si="9"/>
        <v>58.00811921999999</v>
      </c>
      <c r="J120" s="19">
        <f t="shared" si="9"/>
        <v>60.03840339269998</v>
      </c>
      <c r="K120" s="19">
        <f t="shared" si="9"/>
        <v>62.139747511444476</v>
      </c>
      <c r="L120" s="19">
        <f t="shared" si="9"/>
        <v>64.31463867434503</v>
      </c>
      <c r="M120" s="19">
        <f t="shared" si="9"/>
        <v>66.5656510279471</v>
      </c>
      <c r="N120" s="19">
        <f t="shared" si="9"/>
        <v>68.89544881392524</v>
      </c>
      <c r="O120" s="19">
        <f t="shared" si="9"/>
        <v>71.30678952241261</v>
      </c>
      <c r="P120" s="19">
        <f t="shared" si="9"/>
        <v>73.80252715569705</v>
      </c>
      <c r="Q120" s="19">
        <f t="shared" si="9"/>
        <v>76.38561560614644</v>
      </c>
      <c r="R120" s="19">
        <f t="shared" si="9"/>
        <v>79.05911215236156</v>
      </c>
      <c r="S120" s="19">
        <f t="shared" si="9"/>
        <v>81.82618107769422</v>
      </c>
      <c r="T120" s="19">
        <f t="shared" si="9"/>
        <v>84.6900974154135</v>
      </c>
      <c r="U120" s="19">
        <f t="shared" si="9"/>
        <v>87.65425082495297</v>
      </c>
      <c r="V120" s="19">
        <f t="shared" si="9"/>
        <v>90.72214960382631</v>
      </c>
      <c r="W120" s="19">
        <f t="shared" si="10"/>
        <v>93.89742483996022</v>
      </c>
      <c r="X120" s="19">
        <f t="shared" si="10"/>
        <v>97.18383470935882</v>
      </c>
      <c r="Y120" s="19">
        <f t="shared" si="10"/>
        <v>100.58526892418637</v>
      </c>
    </row>
    <row r="121" spans="3:25" ht="75">
      <c r="C121" s="1" t="s">
        <v>117</v>
      </c>
      <c r="D121" s="2"/>
      <c r="E121" s="20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3:25" ht="19.5">
      <c r="C122" s="10" t="s">
        <v>220</v>
      </c>
      <c r="D122" s="2" t="s">
        <v>2</v>
      </c>
      <c r="E122" s="24">
        <v>2431.26</v>
      </c>
      <c r="F122" s="25">
        <v>2298.13</v>
      </c>
      <c r="G122" s="19">
        <v>2083.41</v>
      </c>
      <c r="H122" s="19">
        <v>1762.76</v>
      </c>
      <c r="I122" s="19">
        <v>1762.76</v>
      </c>
      <c r="J122" s="19">
        <v>1762.76</v>
      </c>
      <c r="K122" s="19">
        <v>1747.37</v>
      </c>
      <c r="L122" s="19">
        <v>1747.37</v>
      </c>
      <c r="M122" s="19">
        <v>1747.37</v>
      </c>
      <c r="N122" s="19">
        <v>1755.69</v>
      </c>
      <c r="O122" s="19">
        <v>1755.69</v>
      </c>
      <c r="P122" s="19">
        <v>1755.69</v>
      </c>
      <c r="Q122" s="19">
        <v>1764.27</v>
      </c>
      <c r="R122" s="19">
        <v>1764.27</v>
      </c>
      <c r="S122" s="19">
        <v>1764.27</v>
      </c>
      <c r="T122" s="19">
        <v>1773.09</v>
      </c>
      <c r="U122" s="19">
        <v>1773.09</v>
      </c>
      <c r="V122" s="19">
        <v>1773.09</v>
      </c>
      <c r="W122" s="19">
        <v>1779.15</v>
      </c>
      <c r="X122" s="19">
        <v>1779.15</v>
      </c>
      <c r="Y122" s="19">
        <v>1779.15</v>
      </c>
    </row>
    <row r="123" spans="3:25" ht="19.5">
      <c r="C123" s="10" t="s">
        <v>182</v>
      </c>
      <c r="D123" s="2" t="s">
        <v>48</v>
      </c>
      <c r="E123" s="24">
        <v>585.91</v>
      </c>
      <c r="F123" s="25">
        <v>646.96</v>
      </c>
      <c r="G123" s="19">
        <v>611.11</v>
      </c>
      <c r="H123" s="19">
        <v>652.46</v>
      </c>
      <c r="I123" s="19">
        <v>652.46</v>
      </c>
      <c r="J123" s="19">
        <v>652.46</v>
      </c>
      <c r="K123" s="19">
        <v>667.4</v>
      </c>
      <c r="L123" s="19">
        <v>667.4</v>
      </c>
      <c r="M123" s="19">
        <v>667.4</v>
      </c>
      <c r="N123" s="19">
        <v>675.72</v>
      </c>
      <c r="O123" s="19">
        <v>675.72</v>
      </c>
      <c r="P123" s="19">
        <v>675.72</v>
      </c>
      <c r="Q123" s="19">
        <v>684.3</v>
      </c>
      <c r="R123" s="19">
        <v>684.3</v>
      </c>
      <c r="S123" s="19">
        <v>684.3</v>
      </c>
      <c r="T123" s="19">
        <v>693.12</v>
      </c>
      <c r="U123" s="19">
        <v>693.12</v>
      </c>
      <c r="V123" s="19">
        <v>693.12</v>
      </c>
      <c r="W123" s="19">
        <v>699.18</v>
      </c>
      <c r="X123" s="19">
        <v>699.18</v>
      </c>
      <c r="Y123" s="19">
        <v>699.18</v>
      </c>
    </row>
    <row r="124" spans="3:25" ht="39">
      <c r="C124" s="10" t="s">
        <v>221</v>
      </c>
      <c r="D124" s="2" t="s">
        <v>48</v>
      </c>
      <c r="E124" s="26">
        <v>462.49</v>
      </c>
      <c r="F124" s="25">
        <v>463.34</v>
      </c>
      <c r="G124" s="19">
        <v>503.96</v>
      </c>
      <c r="H124" s="19">
        <v>545.71</v>
      </c>
      <c r="I124" s="19">
        <v>545.71</v>
      </c>
      <c r="J124" s="19">
        <v>545.71</v>
      </c>
      <c r="K124" s="19">
        <v>560.65</v>
      </c>
      <c r="L124" s="19">
        <v>560.65</v>
      </c>
      <c r="M124" s="19">
        <v>560.65</v>
      </c>
      <c r="N124" s="19">
        <v>568.97</v>
      </c>
      <c r="O124" s="19">
        <v>568.97</v>
      </c>
      <c r="P124" s="19">
        <v>568.97</v>
      </c>
      <c r="Q124" s="19">
        <v>577.55</v>
      </c>
      <c r="R124" s="19">
        <v>577.55</v>
      </c>
      <c r="S124" s="19">
        <v>577.55</v>
      </c>
      <c r="T124" s="19">
        <v>586.37</v>
      </c>
      <c r="U124" s="19">
        <v>586.37</v>
      </c>
      <c r="V124" s="19">
        <v>586.37</v>
      </c>
      <c r="W124" s="19">
        <v>592.43</v>
      </c>
      <c r="X124" s="19">
        <v>592.43</v>
      </c>
      <c r="Y124" s="19">
        <v>592.43</v>
      </c>
    </row>
    <row r="125" spans="3:25" ht="18.75">
      <c r="C125" s="11" t="s">
        <v>183</v>
      </c>
      <c r="D125" s="2" t="s">
        <v>48</v>
      </c>
      <c r="E125" s="24">
        <v>0</v>
      </c>
      <c r="F125" s="24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</row>
    <row r="126" spans="3:25" ht="18.75">
      <c r="C126" s="11" t="s">
        <v>184</v>
      </c>
      <c r="D126" s="2" t="s">
        <v>48</v>
      </c>
      <c r="E126" s="24">
        <v>216.98</v>
      </c>
      <c r="F126" s="25">
        <v>220.19</v>
      </c>
      <c r="G126" s="19">
        <v>252.48</v>
      </c>
      <c r="H126" s="19">
        <v>265.36</v>
      </c>
      <c r="I126" s="19">
        <v>265.36</v>
      </c>
      <c r="J126" s="19">
        <v>265.36</v>
      </c>
      <c r="K126" s="19">
        <v>277.3</v>
      </c>
      <c r="L126" s="19">
        <v>277.3</v>
      </c>
      <c r="M126" s="19">
        <v>277.3</v>
      </c>
      <c r="N126" s="19">
        <v>285.62</v>
      </c>
      <c r="O126" s="19">
        <v>285.62</v>
      </c>
      <c r="P126" s="19">
        <v>285.62</v>
      </c>
      <c r="Q126" s="19">
        <v>294.2</v>
      </c>
      <c r="R126" s="19">
        <v>294.2</v>
      </c>
      <c r="S126" s="19">
        <v>294.2</v>
      </c>
      <c r="T126" s="19">
        <v>303.02</v>
      </c>
      <c r="U126" s="19">
        <v>303.02</v>
      </c>
      <c r="V126" s="19">
        <v>303.02</v>
      </c>
      <c r="W126" s="19">
        <v>309.08</v>
      </c>
      <c r="X126" s="19">
        <v>309.08</v>
      </c>
      <c r="Y126" s="19">
        <v>309.08</v>
      </c>
    </row>
    <row r="127" spans="3:25" ht="18.75">
      <c r="C127" s="11" t="s">
        <v>185</v>
      </c>
      <c r="D127" s="2" t="s">
        <v>48</v>
      </c>
      <c r="E127" s="27">
        <v>0</v>
      </c>
      <c r="F127" s="27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</row>
    <row r="128" spans="3:25" ht="18.75">
      <c r="C128" s="11" t="s">
        <v>186</v>
      </c>
      <c r="D128" s="2" t="s">
        <v>48</v>
      </c>
      <c r="E128" s="24">
        <v>13.3</v>
      </c>
      <c r="F128" s="25">
        <v>10.17</v>
      </c>
      <c r="G128" s="19">
        <v>10.21</v>
      </c>
      <c r="H128" s="19">
        <v>11.52</v>
      </c>
      <c r="I128" s="19">
        <v>11.52</v>
      </c>
      <c r="J128" s="19">
        <v>11.52</v>
      </c>
      <c r="K128" s="19">
        <v>11.82</v>
      </c>
      <c r="L128" s="19">
        <v>11.82</v>
      </c>
      <c r="M128" s="19">
        <v>11.82</v>
      </c>
      <c r="N128" s="19">
        <v>11.82</v>
      </c>
      <c r="O128" s="19">
        <v>11.82</v>
      </c>
      <c r="P128" s="19">
        <v>11.82</v>
      </c>
      <c r="Q128" s="19">
        <v>11.82</v>
      </c>
      <c r="R128" s="19">
        <v>11.82</v>
      </c>
      <c r="S128" s="19">
        <v>11.82</v>
      </c>
      <c r="T128" s="19">
        <v>11.82</v>
      </c>
      <c r="U128" s="19">
        <v>11.82</v>
      </c>
      <c r="V128" s="19">
        <v>11.82</v>
      </c>
      <c r="W128" s="19">
        <v>11.82</v>
      </c>
      <c r="X128" s="19">
        <v>11.82</v>
      </c>
      <c r="Y128" s="19">
        <v>11.82</v>
      </c>
    </row>
    <row r="129" spans="3:25" ht="37.5">
      <c r="C129" s="11" t="s">
        <v>187</v>
      </c>
      <c r="D129" s="2" t="s">
        <v>48</v>
      </c>
      <c r="E129" s="27">
        <v>0</v>
      </c>
      <c r="F129" s="27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</row>
    <row r="130" spans="3:25" ht="18.75">
      <c r="C130" s="11" t="s">
        <v>188</v>
      </c>
      <c r="D130" s="2" t="s">
        <v>48</v>
      </c>
      <c r="E130" s="27">
        <v>17.91</v>
      </c>
      <c r="F130" s="25">
        <v>19.57</v>
      </c>
      <c r="G130" s="19">
        <v>22.13</v>
      </c>
      <c r="H130" s="19">
        <v>26.97</v>
      </c>
      <c r="I130" s="19">
        <v>26.97</v>
      </c>
      <c r="J130" s="19">
        <v>26.97</v>
      </c>
      <c r="K130" s="19">
        <v>26.97</v>
      </c>
      <c r="L130" s="19">
        <v>26.97</v>
      </c>
      <c r="M130" s="19">
        <v>26.97</v>
      </c>
      <c r="N130" s="19">
        <v>26.97</v>
      </c>
      <c r="O130" s="19">
        <v>26.97</v>
      </c>
      <c r="P130" s="19">
        <v>26.97</v>
      </c>
      <c r="Q130" s="19">
        <v>26.97</v>
      </c>
      <c r="R130" s="19">
        <v>26.97</v>
      </c>
      <c r="S130" s="19">
        <v>26.97</v>
      </c>
      <c r="T130" s="19">
        <v>26.97</v>
      </c>
      <c r="U130" s="19">
        <v>26.97</v>
      </c>
      <c r="V130" s="19">
        <v>26.97</v>
      </c>
      <c r="W130" s="19">
        <v>26.97</v>
      </c>
      <c r="X130" s="19">
        <v>26.97</v>
      </c>
      <c r="Y130" s="19">
        <v>26.97</v>
      </c>
    </row>
    <row r="131" spans="3:25" ht="18.75">
      <c r="C131" s="11" t="s">
        <v>189</v>
      </c>
      <c r="D131" s="2" t="s">
        <v>48</v>
      </c>
      <c r="E131" s="27">
        <v>0</v>
      </c>
      <c r="F131" s="27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</row>
    <row r="132" spans="3:25" ht="18.75">
      <c r="C132" s="11" t="s">
        <v>190</v>
      </c>
      <c r="D132" s="2" t="s">
        <v>48</v>
      </c>
      <c r="E132" s="27">
        <v>0</v>
      </c>
      <c r="F132" s="27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</row>
    <row r="133" spans="3:25" ht="18.75">
      <c r="C133" s="11" t="s">
        <v>191</v>
      </c>
      <c r="D133" s="2" t="s">
        <v>48</v>
      </c>
      <c r="E133" s="27">
        <v>0</v>
      </c>
      <c r="F133" s="27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</row>
    <row r="134" spans="3:25" ht="18.75">
      <c r="C134" s="11" t="s">
        <v>192</v>
      </c>
      <c r="D134" s="2" t="s">
        <v>48</v>
      </c>
      <c r="E134" s="27">
        <v>159.1</v>
      </c>
      <c r="F134" s="25">
        <v>159.1</v>
      </c>
      <c r="G134" s="19">
        <v>159.1</v>
      </c>
      <c r="H134" s="19">
        <v>179.33</v>
      </c>
      <c r="I134" s="19">
        <v>179.33</v>
      </c>
      <c r="J134" s="19">
        <v>179.33</v>
      </c>
      <c r="K134" s="19">
        <v>179.33</v>
      </c>
      <c r="L134" s="19">
        <v>179.33</v>
      </c>
      <c r="M134" s="19">
        <v>179.33</v>
      </c>
      <c r="N134" s="19">
        <v>179.33</v>
      </c>
      <c r="O134" s="19">
        <v>179.33</v>
      </c>
      <c r="P134" s="19">
        <v>179.33</v>
      </c>
      <c r="Q134" s="19">
        <v>179.33</v>
      </c>
      <c r="R134" s="19">
        <v>179.33</v>
      </c>
      <c r="S134" s="19">
        <v>179.33</v>
      </c>
      <c r="T134" s="19">
        <v>179.33</v>
      </c>
      <c r="U134" s="19">
        <v>179.33</v>
      </c>
      <c r="V134" s="19">
        <v>179.33</v>
      </c>
      <c r="W134" s="19">
        <v>179.33</v>
      </c>
      <c r="X134" s="19">
        <v>179.33</v>
      </c>
      <c r="Y134" s="19">
        <v>179.33</v>
      </c>
    </row>
    <row r="135" spans="3:25" ht="19.5">
      <c r="C135" s="10" t="s">
        <v>193</v>
      </c>
      <c r="D135" s="2" t="s">
        <v>48</v>
      </c>
      <c r="E135" s="24">
        <v>123.42</v>
      </c>
      <c r="F135" s="25">
        <v>183.62</v>
      </c>
      <c r="G135" s="19">
        <v>107.15</v>
      </c>
      <c r="H135" s="19">
        <v>106.75</v>
      </c>
      <c r="I135" s="19">
        <v>106.75</v>
      </c>
      <c r="J135" s="19">
        <v>106.75</v>
      </c>
      <c r="K135" s="19">
        <v>106.75</v>
      </c>
      <c r="L135" s="19">
        <v>106.75</v>
      </c>
      <c r="M135" s="19">
        <v>106.75</v>
      </c>
      <c r="N135" s="19">
        <v>106.75</v>
      </c>
      <c r="O135" s="19">
        <v>106.75</v>
      </c>
      <c r="P135" s="19">
        <v>106.75</v>
      </c>
      <c r="Q135" s="19">
        <v>106.75</v>
      </c>
      <c r="R135" s="19">
        <v>106.75</v>
      </c>
      <c r="S135" s="19">
        <v>106.75</v>
      </c>
      <c r="T135" s="19">
        <v>106.75</v>
      </c>
      <c r="U135" s="19">
        <v>106.75</v>
      </c>
      <c r="V135" s="19">
        <v>106.75</v>
      </c>
      <c r="W135" s="19">
        <v>106.75</v>
      </c>
      <c r="X135" s="19">
        <v>106.75</v>
      </c>
      <c r="Y135" s="19">
        <v>106.75</v>
      </c>
    </row>
    <row r="136" spans="3:25" ht="19.5">
      <c r="C136" s="10" t="s">
        <v>194</v>
      </c>
      <c r="D136" s="2" t="s">
        <v>48</v>
      </c>
      <c r="E136" s="27">
        <v>1845.35</v>
      </c>
      <c r="F136" s="25">
        <v>1651.17</v>
      </c>
      <c r="G136" s="19">
        <v>1472.3</v>
      </c>
      <c r="H136" s="19">
        <v>1110.3</v>
      </c>
      <c r="I136" s="19">
        <v>1110.3</v>
      </c>
      <c r="J136" s="19">
        <v>1110.3</v>
      </c>
      <c r="K136" s="19">
        <v>1079.97</v>
      </c>
      <c r="L136" s="19">
        <v>1079.97</v>
      </c>
      <c r="M136" s="19">
        <v>1079.97</v>
      </c>
      <c r="N136" s="19">
        <v>1079.97</v>
      </c>
      <c r="O136" s="19">
        <v>1079.97</v>
      </c>
      <c r="P136" s="19">
        <v>1079.97</v>
      </c>
      <c r="Q136" s="19">
        <v>1079.97</v>
      </c>
      <c r="R136" s="19">
        <v>1079.97</v>
      </c>
      <c r="S136" s="19">
        <v>1079.97</v>
      </c>
      <c r="T136" s="19">
        <v>1079.97</v>
      </c>
      <c r="U136" s="19">
        <v>1079.97</v>
      </c>
      <c r="V136" s="19">
        <v>1079.97</v>
      </c>
      <c r="W136" s="19">
        <v>1079.97</v>
      </c>
      <c r="X136" s="19">
        <v>1079.97</v>
      </c>
      <c r="Y136" s="19">
        <v>1079.97</v>
      </c>
    </row>
    <row r="137" spans="3:25" ht="18.75">
      <c r="C137" s="3" t="s">
        <v>195</v>
      </c>
      <c r="D137" s="2" t="s">
        <v>48</v>
      </c>
      <c r="E137" s="27">
        <v>608.29</v>
      </c>
      <c r="F137" s="25">
        <v>401.23</v>
      </c>
      <c r="G137" s="19">
        <v>373.67</v>
      </c>
      <c r="H137" s="19">
        <v>33.99</v>
      </c>
      <c r="I137" s="19">
        <v>33.99</v>
      </c>
      <c r="J137" s="19">
        <v>33.99</v>
      </c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ht="18.75">
      <c r="C138" s="3" t="s">
        <v>196</v>
      </c>
      <c r="D138" s="2" t="s">
        <v>48</v>
      </c>
      <c r="E138" s="24">
        <v>977.98</v>
      </c>
      <c r="F138" s="25">
        <v>968.62</v>
      </c>
      <c r="G138" s="19">
        <v>935.96</v>
      </c>
      <c r="H138" s="19">
        <v>940.13</v>
      </c>
      <c r="I138" s="19">
        <v>940.13</v>
      </c>
      <c r="J138" s="19">
        <v>940.13</v>
      </c>
      <c r="K138" s="19">
        <v>944.85</v>
      </c>
      <c r="L138" s="19">
        <v>944.85</v>
      </c>
      <c r="M138" s="19">
        <v>944.85</v>
      </c>
      <c r="N138" s="19">
        <v>944.85</v>
      </c>
      <c r="O138" s="19">
        <v>944.85</v>
      </c>
      <c r="P138" s="19">
        <v>944.85</v>
      </c>
      <c r="Q138" s="19">
        <v>944.85</v>
      </c>
      <c r="R138" s="19">
        <v>944.85</v>
      </c>
      <c r="S138" s="19">
        <v>944.85</v>
      </c>
      <c r="T138" s="19">
        <v>944.85</v>
      </c>
      <c r="U138" s="19">
        <v>944.85</v>
      </c>
      <c r="V138" s="19">
        <v>944.85</v>
      </c>
      <c r="W138" s="19">
        <v>944.85</v>
      </c>
      <c r="X138" s="19">
        <v>944.85</v>
      </c>
      <c r="Y138" s="19">
        <v>944.85</v>
      </c>
    </row>
    <row r="139" spans="3:25" ht="18.75">
      <c r="C139" s="3" t="s">
        <v>197</v>
      </c>
      <c r="D139" s="2" t="s">
        <v>48</v>
      </c>
      <c r="E139" s="28">
        <v>170.79</v>
      </c>
      <c r="F139" s="25">
        <v>185.71</v>
      </c>
      <c r="G139" s="19">
        <v>104.91</v>
      </c>
      <c r="H139" s="19">
        <v>47.37</v>
      </c>
      <c r="I139" s="19">
        <v>47.37</v>
      </c>
      <c r="J139" s="19">
        <v>47.37</v>
      </c>
      <c r="K139" s="19">
        <v>41.2</v>
      </c>
      <c r="L139" s="19">
        <v>41.2</v>
      </c>
      <c r="M139" s="19">
        <v>41.2</v>
      </c>
      <c r="N139" s="19">
        <v>41.2</v>
      </c>
      <c r="O139" s="19">
        <v>41.2</v>
      </c>
      <c r="P139" s="19">
        <v>41.2</v>
      </c>
      <c r="Q139" s="19">
        <v>41.2</v>
      </c>
      <c r="R139" s="19">
        <v>41.2</v>
      </c>
      <c r="S139" s="19">
        <v>41.2</v>
      </c>
      <c r="T139" s="19">
        <v>41.2</v>
      </c>
      <c r="U139" s="19">
        <v>41.2</v>
      </c>
      <c r="V139" s="19">
        <v>41.2</v>
      </c>
      <c r="W139" s="19">
        <v>41.2</v>
      </c>
      <c r="X139" s="19">
        <v>41.2</v>
      </c>
      <c r="Y139" s="19">
        <v>41.2</v>
      </c>
    </row>
    <row r="140" spans="3:25" ht="37.5">
      <c r="C140" s="3" t="s">
        <v>198</v>
      </c>
      <c r="D140" s="2" t="s">
        <v>48</v>
      </c>
      <c r="E140" s="24">
        <v>170.79</v>
      </c>
      <c r="F140" s="25">
        <v>64.89</v>
      </c>
      <c r="G140" s="19">
        <v>94.91</v>
      </c>
      <c r="H140" s="19">
        <v>47.37</v>
      </c>
      <c r="I140" s="19">
        <v>47.37</v>
      </c>
      <c r="J140" s="19">
        <v>47.37</v>
      </c>
      <c r="K140" s="19">
        <v>41.2</v>
      </c>
      <c r="L140" s="19">
        <v>41.2</v>
      </c>
      <c r="M140" s="19">
        <v>41.2</v>
      </c>
      <c r="N140" s="19">
        <v>41.2</v>
      </c>
      <c r="O140" s="19">
        <v>41.2</v>
      </c>
      <c r="P140" s="19">
        <v>41.2</v>
      </c>
      <c r="Q140" s="19">
        <v>41.2</v>
      </c>
      <c r="R140" s="19">
        <v>41.2</v>
      </c>
      <c r="S140" s="19">
        <v>41.2</v>
      </c>
      <c r="T140" s="19">
        <v>41.2</v>
      </c>
      <c r="U140" s="19">
        <v>41.2</v>
      </c>
      <c r="V140" s="19">
        <v>41.2</v>
      </c>
      <c r="W140" s="19">
        <v>41.2</v>
      </c>
      <c r="X140" s="19">
        <v>41.2</v>
      </c>
      <c r="Y140" s="19">
        <v>41.2</v>
      </c>
    </row>
    <row r="141" spans="3:25" ht="39">
      <c r="C141" s="12" t="s">
        <v>222</v>
      </c>
      <c r="D141" s="2" t="s">
        <v>48</v>
      </c>
      <c r="E141" s="24">
        <v>2501.64</v>
      </c>
      <c r="F141" s="25">
        <v>2546.86</v>
      </c>
      <c r="G141" s="19">
        <v>2135.88</v>
      </c>
      <c r="H141" s="19">
        <v>1821.48</v>
      </c>
      <c r="I141" s="19">
        <v>1821.48</v>
      </c>
      <c r="J141" s="19">
        <v>1821.48</v>
      </c>
      <c r="K141" s="19">
        <v>1807.44</v>
      </c>
      <c r="L141" s="19">
        <v>1807.44</v>
      </c>
      <c r="M141" s="19">
        <v>1807.44</v>
      </c>
      <c r="N141" s="19">
        <v>1816.5</v>
      </c>
      <c r="O141" s="19">
        <v>1816.5</v>
      </c>
      <c r="P141" s="19">
        <v>1816.5</v>
      </c>
      <c r="Q141" s="19">
        <v>1825.86</v>
      </c>
      <c r="R141" s="19">
        <v>1825.86</v>
      </c>
      <c r="S141" s="19">
        <v>1825.86</v>
      </c>
      <c r="T141" s="19">
        <v>1835.47</v>
      </c>
      <c r="U141" s="19">
        <v>1835.47</v>
      </c>
      <c r="V141" s="19">
        <v>1835.47</v>
      </c>
      <c r="W141" s="19">
        <v>1842.08</v>
      </c>
      <c r="X141" s="19">
        <v>1842.08</v>
      </c>
      <c r="Y141" s="19">
        <v>1842.08</v>
      </c>
    </row>
    <row r="142" spans="3:25" ht="18.75">
      <c r="C142" s="11" t="s">
        <v>199</v>
      </c>
      <c r="D142" s="2" t="s">
        <v>48</v>
      </c>
      <c r="E142" s="24">
        <v>157.04</v>
      </c>
      <c r="F142" s="25">
        <v>143</v>
      </c>
      <c r="G142" s="19">
        <v>197.42</v>
      </c>
      <c r="H142" s="19">
        <v>230.87</v>
      </c>
      <c r="I142" s="19">
        <v>230.87</v>
      </c>
      <c r="J142" s="19">
        <v>230.87</v>
      </c>
      <c r="K142" s="19">
        <v>235.57</v>
      </c>
      <c r="L142" s="19">
        <v>235.57</v>
      </c>
      <c r="M142" s="19">
        <v>235.57</v>
      </c>
      <c r="N142" s="19">
        <v>235.57</v>
      </c>
      <c r="O142" s="19">
        <v>235.57</v>
      </c>
      <c r="P142" s="19">
        <v>235.57</v>
      </c>
      <c r="Q142" s="19">
        <v>235.57</v>
      </c>
      <c r="R142" s="19">
        <v>235.57</v>
      </c>
      <c r="S142" s="19">
        <v>235.57</v>
      </c>
      <c r="T142" s="19">
        <v>235.57</v>
      </c>
      <c r="U142" s="19">
        <v>235.57</v>
      </c>
      <c r="V142" s="19">
        <v>235.57</v>
      </c>
      <c r="W142" s="19">
        <v>235.57</v>
      </c>
      <c r="X142" s="19">
        <v>235.57</v>
      </c>
      <c r="Y142" s="19">
        <v>235.57</v>
      </c>
    </row>
    <row r="143" spans="3:25" ht="18.75">
      <c r="C143" s="11" t="s">
        <v>200</v>
      </c>
      <c r="D143" s="2" t="s">
        <v>48</v>
      </c>
      <c r="E143" s="24">
        <v>0</v>
      </c>
      <c r="F143" s="25">
        <v>3.41</v>
      </c>
      <c r="G143" s="19">
        <v>3.64</v>
      </c>
      <c r="H143" s="19">
        <v>3.68</v>
      </c>
      <c r="I143" s="19">
        <v>3.68</v>
      </c>
      <c r="J143" s="19">
        <v>3.68</v>
      </c>
      <c r="K143" s="19">
        <v>3.81</v>
      </c>
      <c r="L143" s="19">
        <v>3.81</v>
      </c>
      <c r="M143" s="19">
        <v>3.81</v>
      </c>
      <c r="N143" s="19">
        <v>3.81</v>
      </c>
      <c r="O143" s="19">
        <v>3.81</v>
      </c>
      <c r="P143" s="19">
        <v>3.81</v>
      </c>
      <c r="Q143" s="19">
        <v>3.81</v>
      </c>
      <c r="R143" s="19">
        <v>3.81</v>
      </c>
      <c r="S143" s="19">
        <v>3.81</v>
      </c>
      <c r="T143" s="19">
        <v>3.81</v>
      </c>
      <c r="U143" s="19">
        <v>3.81</v>
      </c>
      <c r="V143" s="19">
        <v>3.81</v>
      </c>
      <c r="W143" s="19">
        <v>3.81</v>
      </c>
      <c r="X143" s="19">
        <v>3.81</v>
      </c>
      <c r="Y143" s="19">
        <v>3.81</v>
      </c>
    </row>
    <row r="144" spans="3:25" ht="37.5">
      <c r="C144" s="11" t="s">
        <v>201</v>
      </c>
      <c r="D144" s="2" t="s">
        <v>48</v>
      </c>
      <c r="E144" s="27">
        <v>22.11</v>
      </c>
      <c r="F144" s="25">
        <v>37.86</v>
      </c>
      <c r="G144" s="19">
        <v>43.27</v>
      </c>
      <c r="H144" s="19">
        <v>19.92</v>
      </c>
      <c r="I144" s="19">
        <v>19.92</v>
      </c>
      <c r="J144" s="19">
        <v>19.92</v>
      </c>
      <c r="K144" s="19">
        <v>19.94</v>
      </c>
      <c r="L144" s="19">
        <v>19.94</v>
      </c>
      <c r="M144" s="19">
        <v>19.94</v>
      </c>
      <c r="N144" s="19">
        <v>19.94</v>
      </c>
      <c r="O144" s="19">
        <v>19.94</v>
      </c>
      <c r="P144" s="19">
        <v>19.94</v>
      </c>
      <c r="Q144" s="19">
        <v>19.94</v>
      </c>
      <c r="R144" s="19">
        <v>19.94</v>
      </c>
      <c r="S144" s="19">
        <v>19.94</v>
      </c>
      <c r="T144" s="19">
        <v>19.94</v>
      </c>
      <c r="U144" s="19">
        <v>19.94</v>
      </c>
      <c r="V144" s="19">
        <v>19.94</v>
      </c>
      <c r="W144" s="19">
        <v>19.94</v>
      </c>
      <c r="X144" s="19">
        <v>19.94</v>
      </c>
      <c r="Y144" s="19">
        <v>19.94</v>
      </c>
    </row>
    <row r="145" spans="3:25" ht="18.75">
      <c r="C145" s="11" t="s">
        <v>202</v>
      </c>
      <c r="D145" s="2" t="s">
        <v>48</v>
      </c>
      <c r="E145" s="24">
        <v>246.61</v>
      </c>
      <c r="F145" s="25">
        <v>283.54</v>
      </c>
      <c r="G145" s="19">
        <v>109.45</v>
      </c>
      <c r="H145" s="19">
        <v>15.12</v>
      </c>
      <c r="I145" s="19">
        <v>15.12</v>
      </c>
      <c r="J145" s="19">
        <v>15.12</v>
      </c>
      <c r="K145" s="19">
        <v>15.47</v>
      </c>
      <c r="L145" s="19">
        <v>15.47</v>
      </c>
      <c r="M145" s="19">
        <v>15.47</v>
      </c>
      <c r="N145" s="19">
        <v>15.47</v>
      </c>
      <c r="O145" s="19">
        <v>15.47</v>
      </c>
      <c r="P145" s="19">
        <v>15.47</v>
      </c>
      <c r="Q145" s="19">
        <v>15.47</v>
      </c>
      <c r="R145" s="19">
        <v>15.47</v>
      </c>
      <c r="S145" s="19">
        <v>15.47</v>
      </c>
      <c r="T145" s="19">
        <v>15.47</v>
      </c>
      <c r="U145" s="19">
        <v>15.47</v>
      </c>
      <c r="V145" s="19">
        <v>15.47</v>
      </c>
      <c r="W145" s="19">
        <v>15.47</v>
      </c>
      <c r="X145" s="19">
        <v>15.47</v>
      </c>
      <c r="Y145" s="19">
        <v>15.47</v>
      </c>
    </row>
    <row r="146" spans="3:25" ht="18.75">
      <c r="C146" s="11" t="s">
        <v>203</v>
      </c>
      <c r="D146" s="2" t="s">
        <v>48</v>
      </c>
      <c r="E146" s="27">
        <v>577.27</v>
      </c>
      <c r="F146" s="25">
        <v>486.34</v>
      </c>
      <c r="G146" s="19">
        <v>188.3</v>
      </c>
      <c r="H146" s="19">
        <v>160.75</v>
      </c>
      <c r="I146" s="19">
        <v>160.75</v>
      </c>
      <c r="J146" s="19">
        <v>160.75</v>
      </c>
      <c r="K146" s="19">
        <v>129.62</v>
      </c>
      <c r="L146" s="19">
        <v>129.62</v>
      </c>
      <c r="M146" s="19">
        <v>129.62</v>
      </c>
      <c r="N146" s="19">
        <v>138.68</v>
      </c>
      <c r="O146" s="19">
        <v>138.68</v>
      </c>
      <c r="P146" s="19">
        <v>138.68</v>
      </c>
      <c r="Q146" s="19">
        <v>148.04</v>
      </c>
      <c r="R146" s="19">
        <v>148.04</v>
      </c>
      <c r="S146" s="19">
        <v>148.04</v>
      </c>
      <c r="T146" s="19">
        <v>157.65</v>
      </c>
      <c r="U146" s="19">
        <v>157.65</v>
      </c>
      <c r="V146" s="19">
        <v>157.65</v>
      </c>
      <c r="W146" s="19">
        <v>164.26</v>
      </c>
      <c r="X146" s="19">
        <v>164.26</v>
      </c>
      <c r="Y146" s="19">
        <v>164.26</v>
      </c>
    </row>
    <row r="147" spans="3:25" ht="18.75">
      <c r="C147" s="11" t="s">
        <v>204</v>
      </c>
      <c r="D147" s="2" t="s">
        <v>48</v>
      </c>
      <c r="E147" s="27">
        <v>0</v>
      </c>
      <c r="F147" s="27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</row>
    <row r="148" spans="3:25" ht="18.75">
      <c r="C148" s="11" t="s">
        <v>205</v>
      </c>
      <c r="D148" s="2" t="s">
        <v>48</v>
      </c>
      <c r="E148" s="24">
        <v>779.56</v>
      </c>
      <c r="F148" s="25">
        <v>735.91</v>
      </c>
      <c r="G148" s="19">
        <v>855.41</v>
      </c>
      <c r="H148" s="19">
        <v>733.71</v>
      </c>
      <c r="I148" s="19">
        <v>733.71</v>
      </c>
      <c r="J148" s="19">
        <v>733.71</v>
      </c>
      <c r="K148" s="19">
        <v>750.92</v>
      </c>
      <c r="L148" s="19">
        <v>750.92</v>
      </c>
      <c r="M148" s="19">
        <v>750.92</v>
      </c>
      <c r="N148" s="19">
        <v>750.92</v>
      </c>
      <c r="O148" s="19">
        <v>750.92</v>
      </c>
      <c r="P148" s="19">
        <v>750.92</v>
      </c>
      <c r="Q148" s="19">
        <v>750.92</v>
      </c>
      <c r="R148" s="19">
        <v>750.92</v>
      </c>
      <c r="S148" s="19">
        <v>750.92</v>
      </c>
      <c r="T148" s="19">
        <v>750.92</v>
      </c>
      <c r="U148" s="19">
        <v>750.92</v>
      </c>
      <c r="V148" s="19">
        <v>750.92</v>
      </c>
      <c r="W148" s="19">
        <v>750.92</v>
      </c>
      <c r="X148" s="19">
        <v>750.92</v>
      </c>
      <c r="Y148" s="19">
        <v>750.92</v>
      </c>
    </row>
    <row r="149" spans="3:25" ht="18.75">
      <c r="C149" s="11" t="s">
        <v>206</v>
      </c>
      <c r="D149" s="2" t="s">
        <v>48</v>
      </c>
      <c r="E149" s="24">
        <v>57.44</v>
      </c>
      <c r="F149" s="25">
        <v>56.09</v>
      </c>
      <c r="G149" s="19">
        <v>55.92</v>
      </c>
      <c r="H149" s="19">
        <v>54.84</v>
      </c>
      <c r="I149" s="19">
        <v>54.84</v>
      </c>
      <c r="J149" s="19">
        <v>54.84</v>
      </c>
      <c r="K149" s="19">
        <v>56.41</v>
      </c>
      <c r="L149" s="19">
        <v>56.41</v>
      </c>
      <c r="M149" s="19">
        <v>56.41</v>
      </c>
      <c r="N149" s="19">
        <v>56.41</v>
      </c>
      <c r="O149" s="19">
        <v>56.41</v>
      </c>
      <c r="P149" s="19">
        <v>56.41</v>
      </c>
      <c r="Q149" s="19">
        <v>56.41</v>
      </c>
      <c r="R149" s="19">
        <v>56.41</v>
      </c>
      <c r="S149" s="19">
        <v>56.41</v>
      </c>
      <c r="T149" s="19">
        <v>56.41</v>
      </c>
      <c r="U149" s="19">
        <v>56.41</v>
      </c>
      <c r="V149" s="19">
        <v>56.41</v>
      </c>
      <c r="W149" s="19">
        <v>56.41</v>
      </c>
      <c r="X149" s="19">
        <v>56.41</v>
      </c>
      <c r="Y149" s="19">
        <v>56.41</v>
      </c>
    </row>
    <row r="150" spans="3:25" ht="18.75">
      <c r="C150" s="11" t="s">
        <v>207</v>
      </c>
      <c r="D150" s="2" t="s">
        <v>48</v>
      </c>
      <c r="E150" s="27">
        <v>0</v>
      </c>
      <c r="F150" s="27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</row>
    <row r="151" spans="3:25" ht="18.75">
      <c r="C151" s="11" t="s">
        <v>208</v>
      </c>
      <c r="D151" s="2" t="s">
        <v>48</v>
      </c>
      <c r="E151" s="27">
        <v>628.23</v>
      </c>
      <c r="F151" s="25">
        <v>593.12</v>
      </c>
      <c r="G151" s="19">
        <v>648.89</v>
      </c>
      <c r="H151" s="19">
        <v>578.7</v>
      </c>
      <c r="I151" s="19">
        <v>578.7</v>
      </c>
      <c r="J151" s="19">
        <v>578.7</v>
      </c>
      <c r="K151" s="19">
        <v>579.08</v>
      </c>
      <c r="L151" s="19">
        <v>579.08</v>
      </c>
      <c r="M151" s="19">
        <v>579.08</v>
      </c>
      <c r="N151" s="19">
        <v>579.08</v>
      </c>
      <c r="O151" s="19">
        <v>579.08</v>
      </c>
      <c r="P151" s="19">
        <v>579.08</v>
      </c>
      <c r="Q151" s="19">
        <v>579.08</v>
      </c>
      <c r="R151" s="19">
        <v>579.08</v>
      </c>
      <c r="S151" s="19">
        <v>579.08</v>
      </c>
      <c r="T151" s="19">
        <v>579.08</v>
      </c>
      <c r="U151" s="19">
        <v>579.08</v>
      </c>
      <c r="V151" s="19">
        <v>579.08</v>
      </c>
      <c r="W151" s="19">
        <v>579.08</v>
      </c>
      <c r="X151" s="19">
        <v>579.08</v>
      </c>
      <c r="Y151" s="19">
        <v>579.08</v>
      </c>
    </row>
    <row r="152" spans="3:25" ht="18.75">
      <c r="C152" s="11" t="s">
        <v>209</v>
      </c>
      <c r="D152" s="2" t="s">
        <v>48</v>
      </c>
      <c r="E152" s="27">
        <v>30.88</v>
      </c>
      <c r="F152" s="25">
        <v>197.25</v>
      </c>
      <c r="G152" s="19">
        <v>14.54</v>
      </c>
      <c r="H152" s="19">
        <v>5.21</v>
      </c>
      <c r="I152" s="19">
        <v>5.21</v>
      </c>
      <c r="J152" s="19">
        <v>5.21</v>
      </c>
      <c r="K152" s="19">
        <v>5.21</v>
      </c>
      <c r="L152" s="19">
        <v>5.21</v>
      </c>
      <c r="M152" s="19">
        <v>5.21</v>
      </c>
      <c r="N152" s="19">
        <v>5.21</v>
      </c>
      <c r="O152" s="19">
        <v>5.21</v>
      </c>
      <c r="P152" s="19">
        <v>5.21</v>
      </c>
      <c r="Q152" s="19">
        <v>5.21</v>
      </c>
      <c r="R152" s="19">
        <v>5.21</v>
      </c>
      <c r="S152" s="19">
        <v>5.21</v>
      </c>
      <c r="T152" s="19">
        <v>5.21</v>
      </c>
      <c r="U152" s="19">
        <v>5.21</v>
      </c>
      <c r="V152" s="19">
        <v>5.21</v>
      </c>
      <c r="W152" s="19">
        <v>5.21</v>
      </c>
      <c r="X152" s="19">
        <v>5.21</v>
      </c>
      <c r="Y152" s="19">
        <v>5.21</v>
      </c>
    </row>
    <row r="153" spans="3:25" ht="18.75">
      <c r="C153" s="11" t="s">
        <v>210</v>
      </c>
      <c r="D153" s="2" t="s">
        <v>48</v>
      </c>
      <c r="E153" s="27">
        <v>2.36</v>
      </c>
      <c r="F153" s="25">
        <v>2.22</v>
      </c>
      <c r="G153" s="19">
        <v>2.71</v>
      </c>
      <c r="H153" s="19">
        <v>2.36</v>
      </c>
      <c r="I153" s="19">
        <v>2.36</v>
      </c>
      <c r="J153" s="19">
        <v>2.36</v>
      </c>
      <c r="K153" s="19">
        <v>2.39</v>
      </c>
      <c r="L153" s="19">
        <v>2.39</v>
      </c>
      <c r="M153" s="19">
        <v>2.39</v>
      </c>
      <c r="N153" s="19">
        <v>2.39</v>
      </c>
      <c r="O153" s="19">
        <v>2.39</v>
      </c>
      <c r="P153" s="19">
        <v>2.39</v>
      </c>
      <c r="Q153" s="19">
        <v>2.39</v>
      </c>
      <c r="R153" s="19">
        <v>2.39</v>
      </c>
      <c r="S153" s="19">
        <v>2.39</v>
      </c>
      <c r="T153" s="19">
        <v>2.39</v>
      </c>
      <c r="U153" s="19">
        <v>2.39</v>
      </c>
      <c r="V153" s="19">
        <v>2.39</v>
      </c>
      <c r="W153" s="19">
        <v>2.39</v>
      </c>
      <c r="X153" s="19">
        <v>2.39</v>
      </c>
      <c r="Y153" s="19">
        <v>2.39</v>
      </c>
    </row>
    <row r="154" spans="3:25" ht="37.5">
      <c r="C154" s="11" t="s">
        <v>211</v>
      </c>
      <c r="D154" s="2" t="s">
        <v>48</v>
      </c>
      <c r="E154" s="27">
        <v>0.14</v>
      </c>
      <c r="F154" s="25">
        <v>8.12</v>
      </c>
      <c r="G154" s="19">
        <v>16.33</v>
      </c>
      <c r="H154" s="19">
        <v>16.32</v>
      </c>
      <c r="I154" s="19">
        <v>16.32</v>
      </c>
      <c r="J154" s="19">
        <v>16.32</v>
      </c>
      <c r="K154" s="19">
        <v>9.02</v>
      </c>
      <c r="L154" s="19">
        <v>9.02</v>
      </c>
      <c r="M154" s="19">
        <v>9.02</v>
      </c>
      <c r="N154" s="19">
        <v>9.02</v>
      </c>
      <c r="O154" s="19">
        <v>9.02</v>
      </c>
      <c r="P154" s="19">
        <v>9.02</v>
      </c>
      <c r="Q154" s="19">
        <v>9.02</v>
      </c>
      <c r="R154" s="19">
        <v>9.02</v>
      </c>
      <c r="S154" s="19">
        <v>9.02</v>
      </c>
      <c r="T154" s="19">
        <v>9.02</v>
      </c>
      <c r="U154" s="19">
        <v>9.02</v>
      </c>
      <c r="V154" s="19">
        <v>9.02</v>
      </c>
      <c r="W154" s="19">
        <v>9.02</v>
      </c>
      <c r="X154" s="19">
        <v>9.02</v>
      </c>
      <c r="Y154" s="19">
        <v>9.02</v>
      </c>
    </row>
    <row r="155" spans="3:25" ht="39">
      <c r="C155" s="10" t="s">
        <v>223</v>
      </c>
      <c r="D155" s="2" t="s">
        <v>48</v>
      </c>
      <c r="E155" s="27">
        <v>-70.38</v>
      </c>
      <c r="F155" s="25">
        <v>-248.73</v>
      </c>
      <c r="G155" s="19">
        <v>-52.47</v>
      </c>
      <c r="H155" s="19">
        <v>-58.72</v>
      </c>
      <c r="I155" s="19">
        <v>-58.72</v>
      </c>
      <c r="J155" s="19">
        <v>-58.72</v>
      </c>
      <c r="K155" s="19">
        <v>-60.07</v>
      </c>
      <c r="L155" s="19">
        <v>-60.07</v>
      </c>
      <c r="M155" s="19">
        <v>-60.07</v>
      </c>
      <c r="N155" s="19">
        <v>-60.81</v>
      </c>
      <c r="O155" s="19">
        <v>-60.81</v>
      </c>
      <c r="P155" s="19">
        <v>-60.81</v>
      </c>
      <c r="Q155" s="19">
        <v>-61.59</v>
      </c>
      <c r="R155" s="19">
        <v>-61.59</v>
      </c>
      <c r="S155" s="19">
        <v>-61.59</v>
      </c>
      <c r="T155" s="19">
        <v>-62.38</v>
      </c>
      <c r="U155" s="19">
        <v>-62.38</v>
      </c>
      <c r="V155" s="19">
        <v>-62.38</v>
      </c>
      <c r="W155" s="19">
        <v>-62.93</v>
      </c>
      <c r="X155" s="19">
        <v>-62.93</v>
      </c>
      <c r="Y155" s="19">
        <v>-62.93</v>
      </c>
    </row>
    <row r="156" spans="3:25" ht="39">
      <c r="C156" s="10" t="s">
        <v>224</v>
      </c>
      <c r="D156" s="2" t="s">
        <v>48</v>
      </c>
      <c r="E156" s="27">
        <v>60</v>
      </c>
      <c r="F156" s="25">
        <v>110</v>
      </c>
      <c r="G156" s="19">
        <v>155</v>
      </c>
      <c r="H156" s="19">
        <v>155</v>
      </c>
      <c r="I156" s="19">
        <v>155</v>
      </c>
      <c r="J156" s="19">
        <v>155</v>
      </c>
      <c r="K156" s="19">
        <v>155</v>
      </c>
      <c r="L156" s="19">
        <v>155</v>
      </c>
      <c r="M156" s="19">
        <v>155</v>
      </c>
      <c r="N156" s="19">
        <v>110</v>
      </c>
      <c r="O156" s="19">
        <v>110</v>
      </c>
      <c r="P156" s="19">
        <v>110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</row>
    <row r="157" spans="3:25" ht="18.75">
      <c r="C157" s="1" t="s">
        <v>49</v>
      </c>
      <c r="D157" s="2"/>
      <c r="E157" s="1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ht="18.75">
      <c r="C158" s="1" t="s">
        <v>50</v>
      </c>
      <c r="D158" s="2" t="s">
        <v>48</v>
      </c>
      <c r="E158" s="23">
        <f>4432.1+568.158+E182</f>
        <v>10664.358</v>
      </c>
      <c r="F158" s="23">
        <f>4716.9+537.037+F182</f>
        <v>10858.737000000001</v>
      </c>
      <c r="G158" s="23">
        <f>5047.1+510.64+G182</f>
        <v>11650.1576</v>
      </c>
      <c r="H158" s="23">
        <f>5349.9+524.748+H182</f>
        <v>12210.762304</v>
      </c>
      <c r="I158" s="23">
        <f>5349.9+524.748+I182</f>
        <v>12277.778897599997</v>
      </c>
      <c r="J158" s="23">
        <f>5349.9+524.748+J182</f>
        <v>12332.610655999999</v>
      </c>
      <c r="K158" s="23">
        <f>5563.9+525.133+K182</f>
        <v>12678.59187616</v>
      </c>
      <c r="L158" s="23">
        <f>5563.9+525.133+L182</f>
        <v>12831.529835172798</v>
      </c>
      <c r="M158" s="23">
        <f>5563.9+525.133+M182</f>
        <v>12934.47341536</v>
      </c>
      <c r="N158" s="23">
        <f>5758.6+525.518+N182</f>
        <v>13203.154819968</v>
      </c>
      <c r="O158" s="23">
        <f>5758.6+525.518+O182</f>
        <v>13458.13463262386</v>
      </c>
      <c r="P158" s="23">
        <f>5758.6+525.518+P182</f>
        <v>13608.7392444352</v>
      </c>
      <c r="Q158" s="23">
        <f>P158*103.2%</f>
        <v>14044.218900257127</v>
      </c>
      <c r="R158" s="23">
        <f>Q158</f>
        <v>14044.218900257127</v>
      </c>
      <c r="S158" s="23">
        <f>R158</f>
        <v>14044.218900257127</v>
      </c>
      <c r="T158" s="23">
        <f>Q158*103.2%</f>
        <v>14493.633905065355</v>
      </c>
      <c r="U158" s="23">
        <f>T158</f>
        <v>14493.633905065355</v>
      </c>
      <c r="V158" s="23">
        <f>U158</f>
        <v>14493.633905065355</v>
      </c>
      <c r="W158" s="23">
        <f>T158*103.2%</f>
        <v>14957.430190027448</v>
      </c>
      <c r="X158" s="23">
        <f>W158</f>
        <v>14957.430190027448</v>
      </c>
      <c r="Y158" s="23">
        <f>X158</f>
        <v>14957.430190027448</v>
      </c>
    </row>
    <row r="159" spans="3:25" ht="37.5">
      <c r="C159" s="11" t="s">
        <v>212</v>
      </c>
      <c r="D159" s="2" t="s">
        <v>213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</row>
    <row r="160" spans="3:25" ht="75">
      <c r="C160" s="4" t="s">
        <v>214</v>
      </c>
      <c r="D160" s="2" t="s">
        <v>215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</row>
    <row r="161" spans="3:25" ht="18.75">
      <c r="C161" s="8" t="s">
        <v>216</v>
      </c>
      <c r="D161" s="2" t="s">
        <v>215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spans="3:25" ht="18.75">
      <c r="C162" s="8" t="s">
        <v>217</v>
      </c>
      <c r="D162" s="2" t="s">
        <v>215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</row>
    <row r="163" spans="3:25" ht="18.75">
      <c r="C163" s="8" t="s">
        <v>218</v>
      </c>
      <c r="D163" s="2" t="s">
        <v>215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3:25" ht="56.25">
      <c r="C164" s="4" t="s">
        <v>219</v>
      </c>
      <c r="D164" s="2" t="s">
        <v>30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3:25" ht="18.75">
      <c r="C165" s="1" t="s">
        <v>51</v>
      </c>
      <c r="D165" s="2" t="s">
        <v>48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</row>
    <row r="166" spans="3:25" ht="18.75">
      <c r="C166" s="3" t="s">
        <v>10</v>
      </c>
      <c r="D166" s="2" t="s">
        <v>52</v>
      </c>
      <c r="E166" s="1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ht="18.75">
      <c r="C167" s="3" t="s">
        <v>53</v>
      </c>
      <c r="D167" s="2" t="s">
        <v>48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spans="3:25" ht="18.75">
      <c r="C168" s="3" t="s">
        <v>54</v>
      </c>
      <c r="D168" s="2" t="s">
        <v>48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3:25" ht="18.75">
      <c r="C169" s="3" t="s">
        <v>55</v>
      </c>
      <c r="D169" s="7" t="s">
        <v>2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3:25" ht="18.75">
      <c r="C170" s="3" t="s">
        <v>56</v>
      </c>
      <c r="D170" s="2" t="s">
        <v>48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3:25" ht="39">
      <c r="C171" s="10" t="s">
        <v>225</v>
      </c>
      <c r="D171" s="2" t="s">
        <v>48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3:25" ht="18.75">
      <c r="C172" s="1" t="s">
        <v>57</v>
      </c>
      <c r="D172" s="2"/>
      <c r="E172" s="1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ht="37.5">
      <c r="C173" s="4" t="s">
        <v>226</v>
      </c>
      <c r="D173" s="2" t="s">
        <v>215</v>
      </c>
      <c r="E173" s="18">
        <v>27.82</v>
      </c>
      <c r="F173" s="6">
        <v>28.94</v>
      </c>
      <c r="G173" s="23">
        <f>F173*G174/100</f>
        <v>31.5446</v>
      </c>
      <c r="H173" s="23">
        <f>G173*H174/100</f>
        <v>32.806384</v>
      </c>
      <c r="I173" s="23">
        <f>G173*I174/100</f>
        <v>33.1533746</v>
      </c>
      <c r="J173" s="23">
        <f aca="true" t="shared" si="11" ref="J173:Y173">G173*J174/100</f>
        <v>33.437276</v>
      </c>
      <c r="K173" s="23">
        <f t="shared" si="11"/>
        <v>34.11863936</v>
      </c>
      <c r="L173" s="23">
        <f t="shared" si="11"/>
        <v>34.8773500792</v>
      </c>
      <c r="M173" s="23">
        <f t="shared" si="11"/>
        <v>35.44351256</v>
      </c>
      <c r="N173" s="23">
        <f t="shared" si="11"/>
        <v>35.824571328000005</v>
      </c>
      <c r="O173" s="23">
        <f t="shared" si="11"/>
        <v>37.1095004842688</v>
      </c>
      <c r="P173" s="23">
        <f t="shared" si="11"/>
        <v>37.9245584392</v>
      </c>
      <c r="Q173" s="23">
        <f t="shared" si="11"/>
        <v>37.974045607680004</v>
      </c>
      <c r="R173" s="23">
        <f t="shared" si="11"/>
        <v>39.70716551816761</v>
      </c>
      <c r="S173" s="23">
        <f t="shared" si="11"/>
        <v>40.958523114335996</v>
      </c>
      <c r="T173" s="23">
        <f t="shared" si="11"/>
        <v>39.872747888064005</v>
      </c>
      <c r="U173" s="23">
        <f t="shared" si="11"/>
        <v>42.44695993892118</v>
      </c>
      <c r="V173" s="23">
        <f t="shared" si="11"/>
        <v>43.82561973233952</v>
      </c>
      <c r="W173" s="23">
        <f t="shared" si="11"/>
        <v>41.866385282467206</v>
      </c>
      <c r="X173" s="23">
        <f t="shared" si="11"/>
        <v>45.37580017470675</v>
      </c>
      <c r="Y173" s="23">
        <f t="shared" si="11"/>
        <v>46.89341311360328</v>
      </c>
    </row>
    <row r="174" spans="3:25" ht="37.5">
      <c r="C174" s="4" t="s">
        <v>227</v>
      </c>
      <c r="D174" s="7" t="s">
        <v>213</v>
      </c>
      <c r="E174" s="18">
        <v>105.6</v>
      </c>
      <c r="F174" s="6">
        <v>104.04</v>
      </c>
      <c r="G174" s="23">
        <v>109</v>
      </c>
      <c r="H174" s="23">
        <v>104</v>
      </c>
      <c r="I174" s="23">
        <v>105.1</v>
      </c>
      <c r="J174" s="23">
        <v>106</v>
      </c>
      <c r="K174" s="23">
        <v>104</v>
      </c>
      <c r="L174" s="23">
        <v>105.2</v>
      </c>
      <c r="M174" s="23">
        <v>106</v>
      </c>
      <c r="N174" s="23">
        <v>105</v>
      </c>
      <c r="O174" s="23">
        <v>106.4</v>
      </c>
      <c r="P174" s="23">
        <v>107</v>
      </c>
      <c r="Q174" s="23">
        <v>106</v>
      </c>
      <c r="R174" s="23">
        <v>107</v>
      </c>
      <c r="S174" s="23">
        <v>108</v>
      </c>
      <c r="T174" s="23">
        <v>105</v>
      </c>
      <c r="U174" s="23">
        <v>106.9</v>
      </c>
      <c r="V174" s="23">
        <v>107</v>
      </c>
      <c r="W174" s="23">
        <v>105</v>
      </c>
      <c r="X174" s="23">
        <v>106.9</v>
      </c>
      <c r="Y174" s="23">
        <v>107</v>
      </c>
    </row>
    <row r="175" spans="3:25" ht="93.75">
      <c r="C175" s="4" t="s">
        <v>108</v>
      </c>
      <c r="D175" s="2" t="s">
        <v>228</v>
      </c>
      <c r="E175" s="18">
        <v>27.82</v>
      </c>
      <c r="F175" s="6">
        <v>28.94</v>
      </c>
      <c r="G175" s="23">
        <f>G173</f>
        <v>31.5446</v>
      </c>
      <c r="H175" s="23">
        <f aca="true" t="shared" si="12" ref="H175:Y175">H173</f>
        <v>32.806384</v>
      </c>
      <c r="I175" s="23">
        <f t="shared" si="12"/>
        <v>33.1533746</v>
      </c>
      <c r="J175" s="23">
        <f t="shared" si="12"/>
        <v>33.437276</v>
      </c>
      <c r="K175" s="23">
        <f t="shared" si="12"/>
        <v>34.11863936</v>
      </c>
      <c r="L175" s="23">
        <f t="shared" si="12"/>
        <v>34.8773500792</v>
      </c>
      <c r="M175" s="23">
        <f t="shared" si="12"/>
        <v>35.44351256</v>
      </c>
      <c r="N175" s="23">
        <f t="shared" si="12"/>
        <v>35.824571328000005</v>
      </c>
      <c r="O175" s="23">
        <f t="shared" si="12"/>
        <v>37.1095004842688</v>
      </c>
      <c r="P175" s="23">
        <f t="shared" si="12"/>
        <v>37.9245584392</v>
      </c>
      <c r="Q175" s="23">
        <f t="shared" si="12"/>
        <v>37.974045607680004</v>
      </c>
      <c r="R175" s="23">
        <f t="shared" si="12"/>
        <v>39.70716551816761</v>
      </c>
      <c r="S175" s="23">
        <f t="shared" si="12"/>
        <v>40.958523114335996</v>
      </c>
      <c r="T175" s="23">
        <f t="shared" si="12"/>
        <v>39.872747888064005</v>
      </c>
      <c r="U175" s="23">
        <f t="shared" si="12"/>
        <v>42.44695993892118</v>
      </c>
      <c r="V175" s="23">
        <f t="shared" si="12"/>
        <v>43.82561973233952</v>
      </c>
      <c r="W175" s="23">
        <f t="shared" si="12"/>
        <v>41.866385282467206</v>
      </c>
      <c r="X175" s="23">
        <f t="shared" si="12"/>
        <v>45.37580017470675</v>
      </c>
      <c r="Y175" s="23">
        <f t="shared" si="12"/>
        <v>46.89341311360328</v>
      </c>
    </row>
    <row r="176" spans="3:25" ht="93.75">
      <c r="C176" s="4" t="s">
        <v>108</v>
      </c>
      <c r="D176" s="7" t="s">
        <v>86</v>
      </c>
      <c r="E176" s="18">
        <v>105.6</v>
      </c>
      <c r="F176" s="6">
        <v>104.04</v>
      </c>
      <c r="G176" s="23">
        <f>G174</f>
        <v>109</v>
      </c>
      <c r="H176" s="23">
        <f aca="true" t="shared" si="13" ref="H176:Y176">H174</f>
        <v>104</v>
      </c>
      <c r="I176" s="23">
        <f t="shared" si="13"/>
        <v>105.1</v>
      </c>
      <c r="J176" s="23">
        <f t="shared" si="13"/>
        <v>106</v>
      </c>
      <c r="K176" s="23">
        <f t="shared" si="13"/>
        <v>104</v>
      </c>
      <c r="L176" s="23">
        <f t="shared" si="13"/>
        <v>105.2</v>
      </c>
      <c r="M176" s="23">
        <f t="shared" si="13"/>
        <v>106</v>
      </c>
      <c r="N176" s="23">
        <f t="shared" si="13"/>
        <v>105</v>
      </c>
      <c r="O176" s="23">
        <f t="shared" si="13"/>
        <v>106.4</v>
      </c>
      <c r="P176" s="23">
        <f t="shared" si="13"/>
        <v>107</v>
      </c>
      <c r="Q176" s="23">
        <f t="shared" si="13"/>
        <v>106</v>
      </c>
      <c r="R176" s="23">
        <f t="shared" si="13"/>
        <v>107</v>
      </c>
      <c r="S176" s="23">
        <f t="shared" si="13"/>
        <v>108</v>
      </c>
      <c r="T176" s="23">
        <f t="shared" si="13"/>
        <v>105</v>
      </c>
      <c r="U176" s="23">
        <f t="shared" si="13"/>
        <v>106.9</v>
      </c>
      <c r="V176" s="23">
        <f t="shared" si="13"/>
        <v>107</v>
      </c>
      <c r="W176" s="23">
        <f t="shared" si="13"/>
        <v>105</v>
      </c>
      <c r="X176" s="23">
        <f t="shared" si="13"/>
        <v>106.9</v>
      </c>
      <c r="Y176" s="23">
        <f t="shared" si="13"/>
        <v>107</v>
      </c>
    </row>
    <row r="177" spans="3:25" ht="37.5">
      <c r="C177" s="8" t="s">
        <v>229</v>
      </c>
      <c r="D177" s="7" t="s">
        <v>213</v>
      </c>
      <c r="E177" s="1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ht="18.75">
      <c r="C178" s="8" t="s">
        <v>58</v>
      </c>
      <c r="D178" s="7" t="s">
        <v>230</v>
      </c>
      <c r="E178" s="1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ht="37.5">
      <c r="C179" s="4" t="s">
        <v>59</v>
      </c>
      <c r="D179" s="7" t="s">
        <v>30</v>
      </c>
      <c r="E179" s="18">
        <v>0.67</v>
      </c>
      <c r="F179" s="6">
        <v>0.5</v>
      </c>
      <c r="G179" s="6">
        <v>0.5</v>
      </c>
      <c r="H179" s="6">
        <v>0.5</v>
      </c>
      <c r="I179" s="6">
        <v>0.5</v>
      </c>
      <c r="J179" s="6">
        <v>0.5</v>
      </c>
      <c r="K179" s="6">
        <v>0.5</v>
      </c>
      <c r="L179" s="6">
        <v>0.5</v>
      </c>
      <c r="M179" s="6">
        <v>0.5</v>
      </c>
      <c r="N179" s="6">
        <v>0.5</v>
      </c>
      <c r="O179" s="6">
        <v>0.5</v>
      </c>
      <c r="P179" s="6">
        <v>0.5</v>
      </c>
      <c r="Q179" s="6">
        <v>0.5</v>
      </c>
      <c r="R179" s="6">
        <v>0.5</v>
      </c>
      <c r="S179" s="6">
        <v>0.5</v>
      </c>
      <c r="T179" s="6">
        <v>0.5</v>
      </c>
      <c r="U179" s="6">
        <v>0.5</v>
      </c>
      <c r="V179" s="6">
        <v>0.5</v>
      </c>
      <c r="W179" s="6">
        <v>0.5</v>
      </c>
      <c r="X179" s="6">
        <v>0.5</v>
      </c>
      <c r="Y179" s="6">
        <v>0.5</v>
      </c>
    </row>
    <row r="180" spans="3:25" ht="18.75">
      <c r="C180" s="4" t="s">
        <v>231</v>
      </c>
      <c r="D180" s="2" t="s">
        <v>37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spans="3:25" ht="56.25">
      <c r="C181" s="4" t="s">
        <v>60</v>
      </c>
      <c r="D181" s="2" t="s">
        <v>37</v>
      </c>
      <c r="E181" s="35">
        <v>0.391</v>
      </c>
      <c r="F181" s="6">
        <v>0.343</v>
      </c>
      <c r="G181" s="6">
        <v>0.301</v>
      </c>
      <c r="H181" s="6">
        <v>0.33</v>
      </c>
      <c r="I181" s="6">
        <v>0.33</v>
      </c>
      <c r="J181" s="6">
        <v>0.33</v>
      </c>
      <c r="K181" s="6">
        <v>0.33</v>
      </c>
      <c r="L181" s="6">
        <v>0.33</v>
      </c>
      <c r="M181" s="6">
        <v>0.33</v>
      </c>
      <c r="N181" s="6">
        <v>0.33</v>
      </c>
      <c r="O181" s="6">
        <v>0.33</v>
      </c>
      <c r="P181" s="6">
        <v>0.33</v>
      </c>
      <c r="Q181" s="6">
        <v>0.33</v>
      </c>
      <c r="R181" s="6">
        <v>0.33</v>
      </c>
      <c r="S181" s="6">
        <v>0.33</v>
      </c>
      <c r="T181" s="6">
        <v>0.33</v>
      </c>
      <c r="U181" s="6">
        <v>0.33</v>
      </c>
      <c r="V181" s="6">
        <v>0.33</v>
      </c>
      <c r="W181" s="6">
        <v>0.33</v>
      </c>
      <c r="X181" s="6">
        <v>0.33</v>
      </c>
      <c r="Y181" s="6">
        <v>0.33</v>
      </c>
    </row>
    <row r="182" spans="3:25" ht="18.75">
      <c r="C182" s="4" t="s">
        <v>232</v>
      </c>
      <c r="D182" s="2" t="s">
        <v>6</v>
      </c>
      <c r="E182" s="23">
        <v>5664.1</v>
      </c>
      <c r="F182" s="23">
        <v>5604.8</v>
      </c>
      <c r="G182" s="23">
        <f>F182*G183/100</f>
        <v>6092.4176</v>
      </c>
      <c r="H182" s="23">
        <f>G182*H183/100</f>
        <v>6336.114304</v>
      </c>
      <c r="I182" s="23">
        <f>G182*I183/100</f>
        <v>6403.130897599999</v>
      </c>
      <c r="J182" s="23">
        <f>G182*106/100</f>
        <v>6457.962656</v>
      </c>
      <c r="K182" s="23">
        <f aca="true" t="shared" si="14" ref="K182:Y182">H182*K183/100</f>
        <v>6589.55887616</v>
      </c>
      <c r="L182" s="23">
        <f t="shared" si="14"/>
        <v>6742.496835172799</v>
      </c>
      <c r="M182" s="23">
        <f t="shared" si="14"/>
        <v>6845.44041536</v>
      </c>
      <c r="N182" s="23">
        <f t="shared" si="14"/>
        <v>6919.036819968</v>
      </c>
      <c r="O182" s="23">
        <f t="shared" si="14"/>
        <v>7174.016632623859</v>
      </c>
      <c r="P182" s="23">
        <f t="shared" si="14"/>
        <v>7324.6212444351995</v>
      </c>
      <c r="Q182" s="23">
        <f t="shared" si="14"/>
        <v>7264.9886609664</v>
      </c>
      <c r="R182" s="23">
        <f t="shared" si="14"/>
        <v>7669.023780274906</v>
      </c>
      <c r="S182" s="23">
        <f t="shared" si="14"/>
        <v>7837.344731545663</v>
      </c>
      <c r="T182" s="23">
        <f t="shared" si="14"/>
        <v>7628.2380940147195</v>
      </c>
      <c r="U182" s="23">
        <f t="shared" si="14"/>
        <v>8198.186421113875</v>
      </c>
      <c r="V182" s="23">
        <f t="shared" si="14"/>
        <v>8385.95886275386</v>
      </c>
      <c r="W182" s="23">
        <f t="shared" si="14"/>
        <v>8085.932379655603</v>
      </c>
      <c r="X182" s="23">
        <f t="shared" si="14"/>
        <v>8772.059470591845</v>
      </c>
      <c r="Y182" s="23">
        <f t="shared" si="14"/>
        <v>9056.835571774169</v>
      </c>
    </row>
    <row r="183" spans="3:25" ht="37.5">
      <c r="C183" s="4" t="s">
        <v>233</v>
      </c>
      <c r="D183" s="2" t="s">
        <v>213</v>
      </c>
      <c r="E183" s="23">
        <f>E182*100/5610.3</f>
        <v>100.9589505017557</v>
      </c>
      <c r="F183" s="23">
        <f>F182*100/E182</f>
        <v>98.95305520735862</v>
      </c>
      <c r="G183" s="23">
        <f>108.7</f>
        <v>108.7</v>
      </c>
      <c r="H183" s="23">
        <v>104</v>
      </c>
      <c r="I183" s="23">
        <v>105.1</v>
      </c>
      <c r="J183" s="23">
        <v>106</v>
      </c>
      <c r="K183" s="23">
        <v>104</v>
      </c>
      <c r="L183" s="23">
        <v>105.3</v>
      </c>
      <c r="M183" s="23">
        <v>106</v>
      </c>
      <c r="N183" s="23">
        <v>105</v>
      </c>
      <c r="O183" s="23">
        <v>106.4</v>
      </c>
      <c r="P183" s="23">
        <v>107</v>
      </c>
      <c r="Q183" s="23">
        <v>105</v>
      </c>
      <c r="R183" s="23">
        <v>106.9</v>
      </c>
      <c r="S183" s="23">
        <v>107</v>
      </c>
      <c r="T183" s="23">
        <v>105</v>
      </c>
      <c r="U183" s="23">
        <v>106.9</v>
      </c>
      <c r="V183" s="23">
        <v>107</v>
      </c>
      <c r="W183" s="23">
        <v>106</v>
      </c>
      <c r="X183" s="23">
        <v>107</v>
      </c>
      <c r="Y183" s="23">
        <v>108</v>
      </c>
    </row>
    <row r="184" spans="3:25" ht="37.5">
      <c r="C184" s="4" t="s">
        <v>75</v>
      </c>
      <c r="D184" s="9" t="s">
        <v>37</v>
      </c>
      <c r="E184" s="18">
        <v>17.09</v>
      </c>
      <c r="F184" s="18">
        <v>16.1</v>
      </c>
      <c r="G184" s="6">
        <v>16.58</v>
      </c>
      <c r="H184" s="6">
        <f>G184</f>
        <v>16.58</v>
      </c>
      <c r="I184" s="23">
        <f>G184*100.1%</f>
        <v>16.596579999999996</v>
      </c>
      <c r="J184" s="23">
        <f>G184*100.2%</f>
        <v>16.613159999999997</v>
      </c>
      <c r="K184" s="18">
        <f>H184*100.1%</f>
        <v>16.596579999999996</v>
      </c>
      <c r="L184" s="23">
        <f>I184*100.28%</f>
        <v>16.643050423999995</v>
      </c>
      <c r="M184" s="23">
        <f>J184*100.3%</f>
        <v>16.662999479999996</v>
      </c>
      <c r="N184" s="18">
        <f>K184*100.1%</f>
        <v>16.613176579999994</v>
      </c>
      <c r="O184" s="23">
        <f>L184*100.28%</f>
        <v>16.689650965187194</v>
      </c>
      <c r="P184" s="23">
        <f>M184*100.3%</f>
        <v>16.712988478439996</v>
      </c>
      <c r="Q184" s="18">
        <f>N184*100.1%</f>
        <v>16.629789756579992</v>
      </c>
      <c r="R184" s="18">
        <f>O184*100.13%</f>
        <v>16.711347511441936</v>
      </c>
      <c r="S184" s="6">
        <f>P184*100.1%</f>
        <v>16.729701466918435</v>
      </c>
      <c r="T184" s="18">
        <f>Q184*100.1%</f>
        <v>16.64641954633657</v>
      </c>
      <c r="U184" s="23">
        <f>R184*100.28%</f>
        <v>16.758139284473973</v>
      </c>
      <c r="V184" s="18">
        <f>S184*100.3%</f>
        <v>16.77989057131919</v>
      </c>
      <c r="W184" s="18">
        <f>T184</f>
        <v>16.64641954633657</v>
      </c>
      <c r="X184" s="18">
        <f>U184*100.1%</f>
        <v>16.774897423758446</v>
      </c>
      <c r="Y184" s="18">
        <f>V184</f>
        <v>16.77989057131919</v>
      </c>
    </row>
    <row r="185" spans="3:25" ht="18.75">
      <c r="C185" s="33" t="s">
        <v>62</v>
      </c>
      <c r="D185" s="2"/>
      <c r="E185" s="18"/>
      <c r="F185" s="18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ht="37.5">
      <c r="C186" s="4" t="s">
        <v>63</v>
      </c>
      <c r="D186" s="2" t="s">
        <v>61</v>
      </c>
      <c r="E186" s="18">
        <v>3648</v>
      </c>
      <c r="F186" s="18">
        <v>3821</v>
      </c>
      <c r="G186" s="6">
        <v>3874</v>
      </c>
      <c r="H186" s="6">
        <v>3874</v>
      </c>
      <c r="I186" s="6">
        <v>3874</v>
      </c>
      <c r="J186" s="6">
        <v>3874</v>
      </c>
      <c r="K186" s="6">
        <v>3914</v>
      </c>
      <c r="L186" s="6">
        <v>3914</v>
      </c>
      <c r="M186" s="6">
        <v>3914</v>
      </c>
      <c r="N186" s="6">
        <v>3914</v>
      </c>
      <c r="O186" s="6">
        <v>3914</v>
      </c>
      <c r="P186" s="6">
        <v>3914</v>
      </c>
      <c r="Q186" s="6">
        <v>3914</v>
      </c>
      <c r="R186" s="6">
        <v>3914</v>
      </c>
      <c r="S186" s="6">
        <v>3914</v>
      </c>
      <c r="T186" s="6">
        <v>3914</v>
      </c>
      <c r="U186" s="6">
        <v>3914</v>
      </c>
      <c r="V186" s="6">
        <v>3914</v>
      </c>
      <c r="W186" s="6">
        <v>3914</v>
      </c>
      <c r="X186" s="6">
        <v>3914</v>
      </c>
      <c r="Y186" s="6">
        <v>3914</v>
      </c>
    </row>
    <row r="187" spans="3:25" ht="18.75">
      <c r="C187" s="3" t="s">
        <v>64</v>
      </c>
      <c r="D187" s="36"/>
      <c r="E187" s="18"/>
      <c r="F187" s="18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ht="37.5">
      <c r="C188" s="3" t="s">
        <v>65</v>
      </c>
      <c r="D188" s="2" t="s">
        <v>66</v>
      </c>
      <c r="E188" s="18">
        <f>1083/136750*10000</f>
        <v>79.19561243144423</v>
      </c>
      <c r="F188" s="18">
        <f>1209/136540*10000</f>
        <v>88.54548117767686</v>
      </c>
      <c r="G188" s="23">
        <f>1209/136690*10000</f>
        <v>88.4483137025386</v>
      </c>
      <c r="H188" s="23">
        <f>1209/136550*10000</f>
        <v>88.53899670450384</v>
      </c>
      <c r="I188" s="23">
        <f>1209/140970*10000</f>
        <v>85.76292828261332</v>
      </c>
      <c r="J188" s="18">
        <f>1209/140830*10000</f>
        <v>85.84818575587587</v>
      </c>
      <c r="K188" s="37">
        <f>1209/140410*10000</f>
        <v>86.10497827790043</v>
      </c>
      <c r="L188" s="18">
        <f>1209/141110*10000</f>
        <v>85.677839982992</v>
      </c>
      <c r="M188" s="18">
        <f>1209/140830*10000</f>
        <v>85.84818575587587</v>
      </c>
      <c r="N188" s="18">
        <f>1209/140130*10000</f>
        <v>86.27702847356026</v>
      </c>
      <c r="O188" s="18">
        <f>1209/141110*10000</f>
        <v>85.677839982992</v>
      </c>
      <c r="P188" s="18">
        <f>1209/140690*10000</f>
        <v>85.9336129078115</v>
      </c>
      <c r="Q188" s="18">
        <f>1209/139990*10000</f>
        <v>86.36331166511893</v>
      </c>
      <c r="R188" s="18">
        <f>1209/141390*10000</f>
        <v>85.508168894547</v>
      </c>
      <c r="S188" s="18">
        <f>1209/140410*10000</f>
        <v>86.10497827790043</v>
      </c>
      <c r="T188" s="18">
        <f>1209/139570*10000</f>
        <v>86.62319982804327</v>
      </c>
      <c r="U188" s="18">
        <f>1209/141250*10000</f>
        <v>85.59292035398231</v>
      </c>
      <c r="V188" s="18">
        <f>1209/139990*10000</f>
        <v>86.36331166511893</v>
      </c>
      <c r="W188" s="23">
        <f>1209/139010*10000</f>
        <v>86.97216027623912</v>
      </c>
      <c r="X188" s="18">
        <f>1209/140970*10000</f>
        <v>85.76292828261332</v>
      </c>
      <c r="Y188" s="18">
        <f>1209/139430*10000</f>
        <v>86.71017714982429</v>
      </c>
    </row>
    <row r="189" spans="3:25" ht="18.75">
      <c r="C189" s="3" t="s">
        <v>67</v>
      </c>
      <c r="D189" s="2" t="s">
        <v>68</v>
      </c>
      <c r="E189" s="18">
        <v>8.04</v>
      </c>
      <c r="F189" s="6">
        <v>8.04</v>
      </c>
      <c r="G189" s="6">
        <v>8.06</v>
      </c>
      <c r="H189" s="6">
        <v>6.59</v>
      </c>
      <c r="I189" s="6">
        <v>8.06</v>
      </c>
      <c r="J189" s="6">
        <v>8.06</v>
      </c>
      <c r="K189" s="6">
        <v>6.59</v>
      </c>
      <c r="L189" s="6">
        <v>8.06</v>
      </c>
      <c r="M189" s="6">
        <v>8.06</v>
      </c>
      <c r="N189" s="6">
        <v>6.59</v>
      </c>
      <c r="O189" s="6">
        <v>8.06</v>
      </c>
      <c r="P189" s="6">
        <v>8.06</v>
      </c>
      <c r="Q189" s="6">
        <v>6.59</v>
      </c>
      <c r="R189" s="6">
        <v>8.06</v>
      </c>
      <c r="S189" s="6">
        <v>8.06</v>
      </c>
      <c r="T189" s="6">
        <v>6.59</v>
      </c>
      <c r="U189" s="6">
        <v>8.06</v>
      </c>
      <c r="V189" s="6">
        <v>8.06</v>
      </c>
      <c r="W189" s="6">
        <v>6.59</v>
      </c>
      <c r="X189" s="6">
        <v>8.06</v>
      </c>
      <c r="Y189" s="6">
        <v>8.06</v>
      </c>
    </row>
    <row r="190" spans="3:25" ht="18.75">
      <c r="C190" s="3" t="s">
        <v>69</v>
      </c>
      <c r="D190" s="2" t="s">
        <v>68</v>
      </c>
      <c r="E190" s="18">
        <v>6.58</v>
      </c>
      <c r="F190" s="18">
        <f>9/136537*100000</f>
        <v>6.591619853959</v>
      </c>
      <c r="G190" s="18">
        <f>9/136688*100000</f>
        <v>6.584338054547583</v>
      </c>
      <c r="H190" s="18">
        <f>9/136550*100000</f>
        <v>6.5909923105089705</v>
      </c>
      <c r="I190" s="18">
        <f>9/140970*100000</f>
        <v>6.38433709299851</v>
      </c>
      <c r="J190" s="18">
        <f>9/140830*100000</f>
        <v>6.390683803166939</v>
      </c>
      <c r="K190" s="18">
        <f>9/140410*100000</f>
        <v>6.409799871804003</v>
      </c>
      <c r="L190" s="18">
        <f>9/141110*100000</f>
        <v>6.378002976401389</v>
      </c>
      <c r="M190" s="18">
        <f>9/140830*100000</f>
        <v>6.390683803166939</v>
      </c>
      <c r="N190" s="18">
        <f>9/140130*100000</f>
        <v>6.422607578676943</v>
      </c>
      <c r="O190" s="18">
        <f>10/141110*100000</f>
        <v>7.086669973779322</v>
      </c>
      <c r="P190" s="18">
        <f>10/140690*100000</f>
        <v>7.1078257161134415</v>
      </c>
      <c r="Q190" s="18">
        <f>10/139990*100000</f>
        <v>7.143367383384528</v>
      </c>
      <c r="R190" s="18">
        <f>10/141390*100000</f>
        <v>7.072635971426551</v>
      </c>
      <c r="S190" s="18">
        <f>10/140410*100000</f>
        <v>7.121999857560002</v>
      </c>
      <c r="T190" s="18">
        <f>10/139570*100000</f>
        <v>7.164863509350147</v>
      </c>
      <c r="U190" s="18">
        <f>10/141250*100000</f>
        <v>7.0796460176991145</v>
      </c>
      <c r="V190" s="18">
        <f>10/139990*100000</f>
        <v>7.143367383384528</v>
      </c>
      <c r="W190" s="18">
        <f>10/139010*100000</f>
        <v>7.193727069994964</v>
      </c>
      <c r="X190" s="18">
        <f>10/140970*100000</f>
        <v>7.093707881109456</v>
      </c>
      <c r="Y190" s="18">
        <f>10/139430*100000</f>
        <v>7.1720576633436135</v>
      </c>
    </row>
    <row r="191" spans="3:25" ht="37.5">
      <c r="C191" s="3" t="s">
        <v>70</v>
      </c>
      <c r="D191" s="2" t="s">
        <v>76</v>
      </c>
      <c r="E191" s="6">
        <v>407</v>
      </c>
      <c r="F191" s="18">
        <v>410</v>
      </c>
      <c r="G191" s="6">
        <v>422</v>
      </c>
      <c r="H191" s="6">
        <v>422</v>
      </c>
      <c r="I191" s="6">
        <v>422</v>
      </c>
      <c r="J191" s="6">
        <v>422</v>
      </c>
      <c r="K191" s="6">
        <v>422</v>
      </c>
      <c r="L191" s="6">
        <v>427</v>
      </c>
      <c r="M191" s="6">
        <v>427</v>
      </c>
      <c r="N191" s="6">
        <v>427</v>
      </c>
      <c r="O191" s="6">
        <v>427</v>
      </c>
      <c r="P191" s="6">
        <v>427</v>
      </c>
      <c r="Q191" s="6">
        <v>427</v>
      </c>
      <c r="R191" s="6">
        <v>427</v>
      </c>
      <c r="S191" s="6">
        <v>427</v>
      </c>
      <c r="T191" s="6">
        <v>427</v>
      </c>
      <c r="U191" s="6">
        <v>427</v>
      </c>
      <c r="V191" s="6">
        <v>427</v>
      </c>
      <c r="W191" s="6">
        <v>427</v>
      </c>
      <c r="X191" s="6">
        <v>427</v>
      </c>
      <c r="Y191" s="6">
        <v>427</v>
      </c>
    </row>
    <row r="192" spans="3:25" ht="18.75">
      <c r="C192" s="1" t="s">
        <v>71</v>
      </c>
      <c r="D192" s="2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ht="37.5">
      <c r="C193" s="33" t="s">
        <v>72</v>
      </c>
      <c r="D193" s="2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ht="18.75">
      <c r="C194" s="4" t="s">
        <v>158</v>
      </c>
      <c r="D194" s="9" t="s">
        <v>37</v>
      </c>
      <c r="E194" s="18">
        <v>5.43</v>
      </c>
      <c r="F194" s="18">
        <v>6.17</v>
      </c>
      <c r="G194" s="18">
        <v>5.79</v>
      </c>
      <c r="H194" s="18">
        <v>5.9</v>
      </c>
      <c r="I194" s="18">
        <v>5.76</v>
      </c>
      <c r="J194" s="18">
        <v>5.76</v>
      </c>
      <c r="K194" s="18">
        <v>5.48</v>
      </c>
      <c r="L194" s="18">
        <v>5.88</v>
      </c>
      <c r="M194" s="18">
        <v>5.88</v>
      </c>
      <c r="N194" s="18">
        <v>6.02</v>
      </c>
      <c r="O194" s="18">
        <v>6.14</v>
      </c>
      <c r="P194" s="18">
        <v>6.14</v>
      </c>
      <c r="Q194" s="18">
        <f>N194*101%</f>
        <v>6.0802</v>
      </c>
      <c r="R194" s="38">
        <f>O194*103.7%</f>
        <v>6.367179999999999</v>
      </c>
      <c r="S194" s="18">
        <f>R194</f>
        <v>6.367179999999999</v>
      </c>
      <c r="T194" s="18">
        <f>Q194*101%</f>
        <v>6.141001999999999</v>
      </c>
      <c r="U194" s="18">
        <f>R194*103.7%</f>
        <v>6.602765659999999</v>
      </c>
      <c r="V194" s="18">
        <f>U194</f>
        <v>6.602765659999999</v>
      </c>
      <c r="W194" s="18">
        <f>T194*101%</f>
        <v>6.20241202</v>
      </c>
      <c r="X194" s="18">
        <f>U194*103.7%</f>
        <v>6.847067989419998</v>
      </c>
      <c r="Y194" s="18">
        <f>X194</f>
        <v>6.847067989419998</v>
      </c>
    </row>
    <row r="195" spans="3:25" ht="18.75">
      <c r="C195" s="4" t="s">
        <v>159</v>
      </c>
      <c r="D195" s="9" t="s">
        <v>37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3:25" ht="18.75">
      <c r="C196" s="4" t="s">
        <v>160</v>
      </c>
      <c r="D196" s="9" t="s">
        <v>37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</row>
    <row r="197" spans="3:25" ht="37.5">
      <c r="C197" s="33" t="s">
        <v>73</v>
      </c>
      <c r="D197" s="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3:25" ht="18.75">
      <c r="C198" s="4" t="s">
        <v>158</v>
      </c>
      <c r="D198" s="9" t="s">
        <v>37</v>
      </c>
      <c r="E198" s="18">
        <v>0.22</v>
      </c>
      <c r="F198" s="18">
        <v>0.24</v>
      </c>
      <c r="G198" s="18">
        <v>0.31</v>
      </c>
      <c r="H198" s="18">
        <v>0.38</v>
      </c>
      <c r="I198" s="18">
        <v>0.22</v>
      </c>
      <c r="J198" s="18">
        <v>0.22</v>
      </c>
      <c r="K198" s="18">
        <v>0.2</v>
      </c>
      <c r="L198" s="18">
        <v>0.22</v>
      </c>
      <c r="M198" s="18">
        <v>0.22</v>
      </c>
      <c r="N198" s="18">
        <v>0.22</v>
      </c>
      <c r="O198" s="18">
        <v>0.23</v>
      </c>
      <c r="P198" s="18">
        <v>0.23</v>
      </c>
      <c r="Q198" s="18">
        <f>N198*97%</f>
        <v>0.2134</v>
      </c>
      <c r="R198" s="18">
        <f>O198*97%</f>
        <v>0.2231</v>
      </c>
      <c r="S198" s="18">
        <f>P198*97%</f>
        <v>0.2231</v>
      </c>
      <c r="T198" s="18">
        <f>Q198*97%</f>
        <v>0.206998</v>
      </c>
      <c r="U198" s="18">
        <f>R198*97%</f>
        <v>0.216407</v>
      </c>
      <c r="V198" s="18">
        <f>T198*97%</f>
        <v>0.20078806</v>
      </c>
      <c r="W198" s="18">
        <f>T198*97%</f>
        <v>0.20078806</v>
      </c>
      <c r="X198" s="18">
        <f>U198*97%</f>
        <v>0.20991479</v>
      </c>
      <c r="Y198" s="18">
        <f>V198*97%</f>
        <v>0.19476441819999998</v>
      </c>
    </row>
    <row r="199" spans="3:25" ht="18.75">
      <c r="C199" s="4" t="s">
        <v>161</v>
      </c>
      <c r="D199" s="9" t="s">
        <v>37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</row>
    <row r="200" spans="3:25" ht="18.75">
      <c r="C200" s="4" t="s">
        <v>162</v>
      </c>
      <c r="D200" s="9" t="s">
        <v>37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</row>
    <row r="201" spans="3:25" ht="37.5">
      <c r="C201" s="3" t="s">
        <v>163</v>
      </c>
      <c r="D201" s="2" t="s">
        <v>37</v>
      </c>
      <c r="E201" s="18">
        <v>114.82</v>
      </c>
      <c r="F201" s="18">
        <v>119.41</v>
      </c>
      <c r="G201" s="18">
        <v>164.62</v>
      </c>
      <c r="H201" s="18">
        <v>126.88</v>
      </c>
      <c r="I201" s="18">
        <v>127.91</v>
      </c>
      <c r="J201" s="18">
        <v>127.91</v>
      </c>
      <c r="K201" s="18">
        <v>130.48</v>
      </c>
      <c r="L201" s="18">
        <v>131.75</v>
      </c>
      <c r="M201" s="18">
        <v>131.75</v>
      </c>
      <c r="N201" s="18">
        <v>133.08</v>
      </c>
      <c r="O201" s="18">
        <v>135.7</v>
      </c>
      <c r="P201" s="18">
        <v>135.7</v>
      </c>
      <c r="Q201" s="18">
        <f>N201*102.5%</f>
        <v>136.407</v>
      </c>
      <c r="R201" s="18">
        <f>O201*103%</f>
        <v>139.771</v>
      </c>
      <c r="S201" s="18">
        <f>R201</f>
        <v>139.771</v>
      </c>
      <c r="T201" s="18">
        <f>Q201*102.5%</f>
        <v>139.817175</v>
      </c>
      <c r="U201" s="18">
        <f>R201*103%</f>
        <v>143.96412999999998</v>
      </c>
      <c r="V201" s="18">
        <f>U201</f>
        <v>143.96412999999998</v>
      </c>
      <c r="W201" s="18">
        <f>T201*102.5%</f>
        <v>143.31260437499998</v>
      </c>
      <c r="X201" s="18">
        <f>U201*103%</f>
        <v>148.2830539</v>
      </c>
      <c r="Y201" s="18">
        <f>X201</f>
        <v>148.2830539</v>
      </c>
    </row>
    <row r="204" ht="18">
      <c r="C204" s="5" t="s">
        <v>157</v>
      </c>
    </row>
    <row r="205" ht="18">
      <c r="C205" s="5" t="s">
        <v>165</v>
      </c>
    </row>
    <row r="206" ht="18">
      <c r="C206" s="5" t="s">
        <v>164</v>
      </c>
    </row>
    <row r="211" spans="9:16" ht="18">
      <c r="I211" s="13"/>
      <c r="J211" s="13"/>
      <c r="K211" s="13"/>
      <c r="L211" s="13"/>
      <c r="M211" s="13"/>
      <c r="N211" s="13"/>
      <c r="O211" s="13"/>
      <c r="P211" s="13"/>
    </row>
  </sheetData>
  <sheetProtection/>
  <autoFilter ref="C8:P201"/>
  <mergeCells count="12">
    <mergeCell ref="C5:C8"/>
    <mergeCell ref="K6:M6"/>
    <mergeCell ref="N6:P6"/>
    <mergeCell ref="D5:D8"/>
    <mergeCell ref="C3:Y3"/>
    <mergeCell ref="G6:G8"/>
    <mergeCell ref="H6:J6"/>
    <mergeCell ref="Q6:S6"/>
    <mergeCell ref="T6:V6"/>
    <mergeCell ref="W6:Y6"/>
    <mergeCell ref="E6:E8"/>
    <mergeCell ref="F6:F8"/>
  </mergeCells>
  <printOptions horizontalCentered="1" verticalCentered="1"/>
  <pageMargins left="0.3937007874015748" right="0.3937007874015748" top="0.7874015748031497" bottom="0.7874015748031497" header="0" footer="0"/>
  <pageSetup fitToHeight="5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Elena</cp:lastModifiedBy>
  <cp:lastPrinted>2018-08-24T10:04:27Z</cp:lastPrinted>
  <dcterms:created xsi:type="dcterms:W3CDTF">2013-05-25T16:45:04Z</dcterms:created>
  <dcterms:modified xsi:type="dcterms:W3CDTF">2018-10-04T09:12:29Z</dcterms:modified>
  <cp:category/>
  <cp:version/>
  <cp:contentType/>
  <cp:contentStatus/>
</cp:coreProperties>
</file>